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oslav.dubovsky\Desktop\MINISTERSTVO_ULOHA_prognozy\"/>
    </mc:Choice>
  </mc:AlternateContent>
  <bookViews>
    <workbookView xWindow="0" yWindow="0" windowWidth="28800" windowHeight="15390"/>
  </bookViews>
  <sheets>
    <sheet name="final" sheetId="1" r:id="rId1"/>
    <sheet name="podklad" sheetId="2" r:id="rId2"/>
  </sheets>
  <definedNames>
    <definedName name="_xlnm.Print_Area" localSheetId="0">final!$A$47:$AC$113</definedName>
    <definedName name="_xlnm.Print_Area" localSheetId="1">podklad!$A$1:$T$49</definedName>
  </definedNames>
  <calcPr calcId="162913"/>
</workbook>
</file>

<file path=xl/calcChain.xml><?xml version="1.0" encoding="utf-8"?>
<calcChain xmlns="http://schemas.openxmlformats.org/spreadsheetml/2006/main">
  <c r="AG23" i="1" l="1"/>
  <c r="AF23" i="1"/>
  <c r="AE23" i="1"/>
  <c r="AD23" i="1"/>
  <c r="AG41" i="1"/>
  <c r="AF41" i="1"/>
  <c r="AE41" i="1"/>
  <c r="AD41" i="1"/>
  <c r="U33" i="2"/>
  <c r="X55" i="2"/>
  <c r="AG92" i="2" l="1"/>
  <c r="AG86" i="2"/>
  <c r="AG73" i="2"/>
  <c r="AG67" i="2"/>
  <c r="AF89" i="2" l="1"/>
  <c r="AG89" i="2"/>
  <c r="AH89" i="2"/>
  <c r="AF70" i="2"/>
  <c r="AG70" i="2"/>
  <c r="AH70" i="2"/>
  <c r="AA67" i="2" l="1"/>
  <c r="AB67" i="2"/>
  <c r="AC67" i="2"/>
  <c r="AD67" i="2"/>
  <c r="AE67" i="2"/>
  <c r="AA68" i="2"/>
  <c r="AB68" i="2"/>
  <c r="AC68" i="2"/>
  <c r="AD68" i="2"/>
  <c r="AE68" i="2"/>
  <c r="AA69" i="2"/>
  <c r="AB69" i="2"/>
  <c r="AC69" i="2"/>
  <c r="AD69" i="2"/>
  <c r="AE69" i="2"/>
  <c r="AA70" i="2"/>
  <c r="AB70" i="2"/>
  <c r="AC70" i="2"/>
  <c r="AD70" i="2"/>
  <c r="AE70" i="2"/>
  <c r="AA71" i="2"/>
  <c r="AB71" i="2"/>
  <c r="AC71" i="2"/>
  <c r="AD71" i="2"/>
  <c r="AE71" i="2"/>
  <c r="AA72" i="2"/>
  <c r="AB72" i="2"/>
  <c r="AC72" i="2"/>
  <c r="AD72" i="2"/>
  <c r="AE72" i="2"/>
  <c r="AA73" i="2"/>
  <c r="AB73" i="2"/>
  <c r="AC73" i="2"/>
  <c r="AD73" i="2"/>
  <c r="AE73" i="2"/>
  <c r="AA74" i="2"/>
  <c r="AB74" i="2"/>
  <c r="AC74" i="2"/>
  <c r="AD74" i="2"/>
  <c r="AE74" i="2"/>
  <c r="AD66" i="2"/>
  <c r="AE66" i="2"/>
  <c r="AA66" i="2"/>
  <c r="AB66" i="2"/>
  <c r="AC66" i="2"/>
  <c r="T41" i="2"/>
  <c r="T47" i="2"/>
  <c r="T29" i="2" l="1"/>
  <c r="T22" i="2" l="1"/>
  <c r="T15" i="2" l="1"/>
  <c r="T56" i="2" s="1"/>
  <c r="AC58" i="1"/>
  <c r="AC76" i="1"/>
  <c r="U69" i="2"/>
  <c r="S55" i="2"/>
  <c r="S56" i="2"/>
  <c r="U89" i="2"/>
  <c r="T33" i="2"/>
  <c r="T42" i="2"/>
  <c r="T67" i="2" l="1"/>
  <c r="AA86" i="2" l="1"/>
  <c r="AB86" i="2"/>
  <c r="AC86" i="2"/>
  <c r="AD86" i="2"/>
  <c r="AA87" i="2"/>
  <c r="AB87" i="2"/>
  <c r="AC87" i="2"/>
  <c r="AD87" i="2"/>
  <c r="AA88" i="2"/>
  <c r="AB88" i="2"/>
  <c r="AC88" i="2"/>
  <c r="AD88" i="2"/>
  <c r="AE88" i="2"/>
  <c r="AA89" i="2"/>
  <c r="AB89" i="2"/>
  <c r="AC89" i="2"/>
  <c r="AD89" i="2"/>
  <c r="AA90" i="2"/>
  <c r="AB90" i="2"/>
  <c r="AC90" i="2"/>
  <c r="AD90" i="2"/>
  <c r="AA91" i="2"/>
  <c r="AB91" i="2"/>
  <c r="AC91" i="2"/>
  <c r="AD91" i="2"/>
  <c r="AE91" i="2"/>
  <c r="AA92" i="2"/>
  <c r="AB92" i="2"/>
  <c r="AC92" i="2"/>
  <c r="AD92" i="2"/>
  <c r="AA93" i="2"/>
  <c r="AB93" i="2"/>
  <c r="AC93" i="2"/>
  <c r="AD93" i="2"/>
  <c r="AA85" i="2"/>
  <c r="AB85" i="2"/>
  <c r="AC85" i="2"/>
  <c r="AD85" i="2"/>
  <c r="AE85" i="2"/>
  <c r="Y45" i="2" l="1"/>
  <c r="Y39" i="2"/>
  <c r="Y20" i="2"/>
  <c r="Y13" i="2"/>
  <c r="Y73" i="2" l="1"/>
  <c r="X73" i="2"/>
  <c r="AH73" i="2" s="1"/>
  <c r="Y72" i="2"/>
  <c r="X72" i="2"/>
  <c r="AH72" i="2" s="1"/>
  <c r="Y70" i="2"/>
  <c r="X70" i="2"/>
  <c r="Y69" i="2"/>
  <c r="X69" i="2"/>
  <c r="AH69" i="2" s="1"/>
  <c r="Y92" i="2"/>
  <c r="X92" i="2"/>
  <c r="AH92" i="2" s="1"/>
  <c r="Y91" i="2"/>
  <c r="Y85" i="2" s="1"/>
  <c r="X91" i="2"/>
  <c r="AH91" i="2" s="1"/>
  <c r="Y89" i="2"/>
  <c r="X89" i="2"/>
  <c r="Y88" i="2"/>
  <c r="X88" i="2"/>
  <c r="AH88" i="2" s="1"/>
  <c r="X7" i="2"/>
  <c r="X10" i="2" s="1"/>
  <c r="X14" i="2"/>
  <c r="X17" i="2" s="1"/>
  <c r="X18" i="2"/>
  <c r="X21" i="2"/>
  <c r="X24" i="2"/>
  <c r="X28" i="2"/>
  <c r="X31" i="2" s="1"/>
  <c r="X33" i="2"/>
  <c r="X40" i="2"/>
  <c r="X43" i="2"/>
  <c r="X46" i="2"/>
  <c r="X49" i="2" s="1"/>
  <c r="X56" i="2"/>
  <c r="Y66" i="2" l="1"/>
  <c r="Y67" i="2"/>
  <c r="X71" i="2"/>
  <c r="X90" i="2"/>
  <c r="X66" i="2"/>
  <c r="AH66" i="2" s="1"/>
  <c r="Y90" i="2"/>
  <c r="Y74" i="2"/>
  <c r="X51" i="2"/>
  <c r="X53" i="2" s="1"/>
  <c r="X85" i="2"/>
  <c r="AH85" i="2" s="1"/>
  <c r="X74" i="2"/>
  <c r="X93" i="2"/>
  <c r="Y93" i="2"/>
  <c r="X36" i="2"/>
  <c r="X86" i="2"/>
  <c r="AH86" i="2" s="1"/>
  <c r="X67" i="2"/>
  <c r="AH67" i="2" s="1"/>
  <c r="Y86" i="2"/>
  <c r="Y87" i="2" s="1"/>
  <c r="Y71" i="2"/>
  <c r="AC98" i="1"/>
  <c r="AB98" i="1"/>
  <c r="AB92" i="1"/>
  <c r="AC92" i="1"/>
  <c r="AA92" i="1"/>
  <c r="AB69" i="1"/>
  <c r="AC31" i="1"/>
  <c r="AC32" i="1"/>
  <c r="AC36" i="1"/>
  <c r="AC39" i="1"/>
  <c r="AC41" i="1"/>
  <c r="AC43" i="1"/>
  <c r="AG33" i="1"/>
  <c r="AG36" i="1"/>
  <c r="AG39" i="1"/>
  <c r="AC13" i="1"/>
  <c r="AC15" i="1" s="1"/>
  <c r="AC14" i="1"/>
  <c r="AC18" i="1"/>
  <c r="AC21" i="1"/>
  <c r="AC23" i="1"/>
  <c r="AC25" i="1"/>
  <c r="AG15" i="1"/>
  <c r="AG18" i="1"/>
  <c r="AG21" i="1"/>
  <c r="AC75" i="1"/>
  <c r="AC80" i="1"/>
  <c r="AC83" i="1"/>
  <c r="AC85" i="1"/>
  <c r="AC87" i="1"/>
  <c r="AC57" i="1"/>
  <c r="AC62" i="1"/>
  <c r="AC65" i="1"/>
  <c r="AC67" i="1"/>
  <c r="AC69" i="1"/>
  <c r="Y68" i="2" l="1"/>
  <c r="X87" i="2"/>
  <c r="X68" i="2"/>
  <c r="AC59" i="1"/>
  <c r="AC33" i="1"/>
  <c r="AC77" i="1"/>
  <c r="S72" i="2"/>
  <c r="T72" i="2"/>
  <c r="R12" i="2"/>
  <c r="R19" i="2"/>
  <c r="S91" i="2" s="1"/>
  <c r="R45" i="2"/>
  <c r="S69" i="2" s="1"/>
  <c r="R39" i="2"/>
  <c r="S66" i="2" l="1"/>
  <c r="S14" i="2" l="1"/>
  <c r="W92" i="2"/>
  <c r="W91" i="2"/>
  <c r="AG91" i="2" s="1"/>
  <c r="W89" i="2"/>
  <c r="W88" i="2"/>
  <c r="AG88" i="2" s="1"/>
  <c r="W73" i="2"/>
  <c r="W72" i="2"/>
  <c r="AG72" i="2" s="1"/>
  <c r="W70" i="2"/>
  <c r="W69" i="2"/>
  <c r="AG69" i="2" s="1"/>
  <c r="W7" i="2"/>
  <c r="W10" i="2" s="1"/>
  <c r="W14" i="2"/>
  <c r="W17" i="2"/>
  <c r="W18" i="2"/>
  <c r="W21" i="2"/>
  <c r="W24" i="2" s="1"/>
  <c r="W28" i="2"/>
  <c r="W31" i="2" s="1"/>
  <c r="W33" i="2"/>
  <c r="W40" i="2"/>
  <c r="W36" i="2" s="1"/>
  <c r="W46" i="2"/>
  <c r="W49" i="2" s="1"/>
  <c r="W55" i="2"/>
  <c r="W56" i="2"/>
  <c r="AF39" i="1"/>
  <c r="AH93" i="2" s="1"/>
  <c r="AE39" i="1"/>
  <c r="AD39" i="1"/>
  <c r="AF36" i="1"/>
  <c r="AH90" i="2" s="1"/>
  <c r="AE36" i="1"/>
  <c r="AD36" i="1"/>
  <c r="AF33" i="1"/>
  <c r="AH87" i="2" s="1"/>
  <c r="AE33" i="1"/>
  <c r="AD33" i="1"/>
  <c r="AF18" i="1"/>
  <c r="AH71" i="2" s="1"/>
  <c r="AE18" i="1"/>
  <c r="AD18" i="1"/>
  <c r="AF21" i="1"/>
  <c r="AH74" i="2" s="1"/>
  <c r="AE21" i="1"/>
  <c r="AD21" i="1"/>
  <c r="AF15" i="1"/>
  <c r="AH68" i="2" s="1"/>
  <c r="AE15" i="1"/>
  <c r="AD15" i="1"/>
  <c r="AA98" i="1"/>
  <c r="W67" i="2" l="1"/>
  <c r="W66" i="2"/>
  <c r="AG66" i="2" s="1"/>
  <c r="W86" i="2"/>
  <c r="W90" i="2"/>
  <c r="AG90" i="2" s="1"/>
  <c r="W85" i="2"/>
  <c r="AG85" i="2" s="1"/>
  <c r="W71" i="2"/>
  <c r="AG71" i="2" s="1"/>
  <c r="W93" i="2"/>
  <c r="AG93" i="2" s="1"/>
  <c r="W74" i="2"/>
  <c r="AG74" i="2" s="1"/>
  <c r="W43" i="2"/>
  <c r="W51" i="2"/>
  <c r="W53" i="2" s="1"/>
  <c r="W68" i="2" l="1"/>
  <c r="AG68" i="2" s="1"/>
  <c r="W87" i="2"/>
  <c r="AG87" i="2" s="1"/>
  <c r="AB43" i="1"/>
  <c r="AA43" i="1"/>
  <c r="AB41" i="1"/>
  <c r="AA41" i="1"/>
  <c r="AB39" i="1"/>
  <c r="AA39" i="1"/>
  <c r="AB36" i="1"/>
  <c r="AA36" i="1"/>
  <c r="AB32" i="1"/>
  <c r="AA32" i="1"/>
  <c r="AB31" i="1"/>
  <c r="AA31" i="1"/>
  <c r="AB25" i="1"/>
  <c r="AA25" i="1"/>
  <c r="AB23" i="1"/>
  <c r="AA23" i="1"/>
  <c r="AB21" i="1"/>
  <c r="AA21" i="1"/>
  <c r="AB18" i="1"/>
  <c r="AA18" i="1"/>
  <c r="AB14" i="1"/>
  <c r="AA14" i="1"/>
  <c r="AB13" i="1"/>
  <c r="AA13" i="1"/>
  <c r="AB15" i="1" l="1"/>
  <c r="AB33" i="1"/>
  <c r="AA15" i="1"/>
  <c r="AA33" i="1"/>
  <c r="AB75" i="1" l="1"/>
  <c r="AB76" i="1"/>
  <c r="AB80" i="1"/>
  <c r="AB83" i="1"/>
  <c r="AB85" i="1"/>
  <c r="AB87" i="1"/>
  <c r="AB58" i="1"/>
  <c r="AB65" i="1"/>
  <c r="AB67" i="1"/>
  <c r="AB77" i="1" l="1"/>
  <c r="T70" i="2"/>
  <c r="V89" i="2"/>
  <c r="T69" i="2"/>
  <c r="V55" i="2"/>
  <c r="T73" i="2"/>
  <c r="S73" i="2"/>
  <c r="S70" i="2"/>
  <c r="U56" i="2"/>
  <c r="V56" i="2"/>
  <c r="T55" i="2"/>
  <c r="U55" i="2"/>
  <c r="V69" i="2"/>
  <c r="AF69" i="2" s="1"/>
  <c r="U70" i="2"/>
  <c r="V70" i="2"/>
  <c r="U72" i="2"/>
  <c r="V72" i="2"/>
  <c r="AF72" i="2" s="1"/>
  <c r="U73" i="2"/>
  <c r="V73" i="2"/>
  <c r="AF73" i="2" s="1"/>
  <c r="V40" i="2"/>
  <c r="V43" i="2" s="1"/>
  <c r="V46" i="2"/>
  <c r="V49" i="2" s="1"/>
  <c r="V7" i="2"/>
  <c r="V14" i="2"/>
  <c r="V17" i="2" s="1"/>
  <c r="V18" i="2"/>
  <c r="V21" i="2"/>
  <c r="V24" i="2" s="1"/>
  <c r="V28" i="2"/>
  <c r="V31" i="2" s="1"/>
  <c r="V33" i="2"/>
  <c r="V71" i="2" l="1"/>
  <c r="AF71" i="2" s="1"/>
  <c r="S67" i="2"/>
  <c r="V51" i="2"/>
  <c r="V53" i="2" s="1"/>
  <c r="T71" i="2"/>
  <c r="U67" i="2"/>
  <c r="U66" i="2"/>
  <c r="U74" i="2"/>
  <c r="V67" i="2"/>
  <c r="AF67" i="2" s="1"/>
  <c r="V74" i="2"/>
  <c r="AF74" i="2" s="1"/>
  <c r="V66" i="2"/>
  <c r="AF66" i="2" s="1"/>
  <c r="T66" i="2"/>
  <c r="T74" i="2"/>
  <c r="U71" i="2"/>
  <c r="V10" i="2"/>
  <c r="V36" i="2"/>
  <c r="U68" i="2" l="1"/>
  <c r="T68" i="2"/>
  <c r="V68" i="2"/>
  <c r="AF68" i="2" s="1"/>
  <c r="AA75" i="1"/>
  <c r="AA76" i="1"/>
  <c r="AA80" i="1"/>
  <c r="AA83" i="1"/>
  <c r="AA85" i="1"/>
  <c r="AA87" i="1"/>
  <c r="AA58" i="1"/>
  <c r="AA62" i="1"/>
  <c r="AA65" i="1"/>
  <c r="AA67" i="1"/>
  <c r="AA69" i="1"/>
  <c r="AA57" i="1"/>
  <c r="AA59" i="1" l="1"/>
  <c r="AA77" i="1"/>
  <c r="Q33" i="2"/>
  <c r="R70" i="2" l="1"/>
  <c r="U46" i="2" l="1"/>
  <c r="T46" i="2"/>
  <c r="S46" i="2"/>
  <c r="R46" i="2"/>
  <c r="U40" i="2"/>
  <c r="T40" i="2"/>
  <c r="S40" i="2"/>
  <c r="R40" i="2"/>
  <c r="U28" i="2"/>
  <c r="T28" i="2"/>
  <c r="S28" i="2"/>
  <c r="R28" i="2"/>
  <c r="U21" i="2"/>
  <c r="T21" i="2"/>
  <c r="S21" i="2"/>
  <c r="R21" i="2"/>
  <c r="U14" i="2"/>
  <c r="T14" i="2"/>
  <c r="R14" i="2"/>
  <c r="U7" i="2"/>
  <c r="T7" i="2"/>
  <c r="Y7" i="2" s="1"/>
  <c r="S7" i="2"/>
  <c r="R7" i="2"/>
  <c r="Y47" i="2" l="1"/>
  <c r="Y46" i="2"/>
  <c r="Y40" i="2"/>
  <c r="Y41" i="2"/>
  <c r="R69" i="2"/>
  <c r="V92" i="2"/>
  <c r="AF92" i="2" s="1"/>
  <c r="V91" i="2"/>
  <c r="AF91" i="2" s="1"/>
  <c r="V88" i="2"/>
  <c r="AF88" i="2" s="1"/>
  <c r="S33" i="2"/>
  <c r="R33" i="2"/>
  <c r="R49" i="2"/>
  <c r="O48" i="2"/>
  <c r="U18" i="2"/>
  <c r="Q40" i="2"/>
  <c r="Q36" i="2" s="1"/>
  <c r="Q28" i="2"/>
  <c r="Q21" i="2"/>
  <c r="Q14" i="2"/>
  <c r="Q7" i="2"/>
  <c r="U88" i="2"/>
  <c r="AE89" i="2"/>
  <c r="U91" i="2"/>
  <c r="U92" i="2"/>
  <c r="U17" i="2"/>
  <c r="U24" i="2"/>
  <c r="U31" i="2"/>
  <c r="U86" i="2" l="1"/>
  <c r="AE92" i="2"/>
  <c r="V85" i="2"/>
  <c r="AF85" i="2" s="1"/>
  <c r="Q51" i="2"/>
  <c r="V86" i="2"/>
  <c r="AF86" i="2" s="1"/>
  <c r="V93" i="2"/>
  <c r="AF93" i="2" s="1"/>
  <c r="V90" i="2"/>
  <c r="AF90" i="2" s="1"/>
  <c r="U90" i="2"/>
  <c r="AE90" i="2" s="1"/>
  <c r="U93" i="2"/>
  <c r="AE93" i="2" s="1"/>
  <c r="U85" i="2"/>
  <c r="AE86" i="2" l="1"/>
  <c r="V87" i="2"/>
  <c r="AF87" i="2" s="1"/>
  <c r="U87" i="2"/>
  <c r="AE87" i="2" s="1"/>
  <c r="Z58" i="1" l="1"/>
  <c r="Z75" i="1" l="1"/>
  <c r="Z80" i="1"/>
  <c r="Z83" i="1"/>
  <c r="Z85" i="1"/>
  <c r="Z87" i="1"/>
  <c r="Z57" i="1"/>
  <c r="Z62" i="1"/>
  <c r="Z65" i="1"/>
  <c r="Z67" i="1"/>
  <c r="Z69" i="1"/>
  <c r="Z76" i="1" l="1"/>
  <c r="Z59" i="1"/>
  <c r="Z77" i="1" l="1"/>
  <c r="P18" i="2"/>
  <c r="Y58" i="1" l="1"/>
  <c r="Y79" i="1"/>
  <c r="P42" i="2" l="1"/>
  <c r="P41" i="2" l="1"/>
  <c r="Q89" i="2" l="1"/>
  <c r="Q70" i="2"/>
  <c r="Q92" i="2"/>
  <c r="Q91" i="2"/>
  <c r="Q88" i="2"/>
  <c r="Q69" i="2"/>
  <c r="Q72" i="2"/>
  <c r="Q73" i="2"/>
  <c r="Q67" i="2" l="1"/>
  <c r="Q85" i="2"/>
  <c r="Q86" i="2"/>
  <c r="Q66" i="2"/>
  <c r="Y85" i="1"/>
  <c r="Y76" i="1" l="1"/>
  <c r="Y57" i="1"/>
  <c r="S75" i="1"/>
  <c r="E72" i="2" l="1"/>
  <c r="E66" i="2" s="1"/>
  <c r="Q18" i="2" l="1"/>
  <c r="S18" i="2"/>
  <c r="T18" i="2"/>
  <c r="R18" i="2"/>
  <c r="Q93" i="2" l="1"/>
  <c r="Q90" i="2"/>
  <c r="P69" i="2"/>
  <c r="Q87" i="2" l="1"/>
  <c r="P33" i="2"/>
  <c r="W57" i="1"/>
  <c r="P46" i="2"/>
  <c r="O40" i="2"/>
  <c r="P40" i="2"/>
  <c r="P28" i="2"/>
  <c r="P21" i="2"/>
  <c r="P14" i="2"/>
  <c r="P7" i="2"/>
  <c r="O10" i="2"/>
  <c r="O9" i="2"/>
  <c r="P36" i="2" l="1"/>
  <c r="P51" i="2"/>
  <c r="P53" i="2" s="1"/>
  <c r="O36" i="2"/>
  <c r="O51" i="2"/>
  <c r="O53" i="2" s="1"/>
  <c r="P10" i="2"/>
  <c r="U10" i="2"/>
  <c r="Y69" i="1"/>
  <c r="Y67" i="1"/>
  <c r="Y65" i="1"/>
  <c r="Y62" i="1"/>
  <c r="R72" i="2" l="1"/>
  <c r="R91" i="2"/>
  <c r="T91" i="2"/>
  <c r="R66" i="2" l="1"/>
  <c r="R10" i="2"/>
  <c r="J36" i="2"/>
  <c r="K36" i="2"/>
  <c r="L36" i="2"/>
  <c r="M36" i="2"/>
  <c r="E18" i="2" l="1"/>
  <c r="F18" i="2"/>
  <c r="G18" i="2"/>
  <c r="H18" i="2"/>
  <c r="I18" i="2"/>
  <c r="J18" i="2"/>
  <c r="K18" i="2"/>
  <c r="L18" i="2"/>
  <c r="M18" i="2"/>
  <c r="N18" i="2"/>
  <c r="O18" i="2"/>
  <c r="D18" i="2"/>
  <c r="N46" i="2" l="1"/>
  <c r="N40" i="2"/>
  <c r="N36" i="2" l="1"/>
  <c r="N31" i="2"/>
  <c r="D28" i="2"/>
  <c r="D31" i="2" s="1"/>
  <c r="D33" i="2"/>
  <c r="U43" i="2" l="1"/>
  <c r="U36" i="2"/>
  <c r="U51" i="2"/>
  <c r="T51" i="2"/>
  <c r="S51" i="2"/>
  <c r="R51" i="2"/>
  <c r="R36" i="2" l="1"/>
  <c r="S36" i="2"/>
  <c r="T36" i="2"/>
  <c r="T43" i="2"/>
  <c r="R43" i="2"/>
  <c r="Q43" i="2" l="1"/>
  <c r="S43" i="2"/>
  <c r="N16" i="2"/>
  <c r="M16" i="2"/>
  <c r="D10" i="2" l="1"/>
  <c r="D17" i="2"/>
  <c r="X85" i="1" l="1"/>
  <c r="W85" i="1"/>
  <c r="P49" i="2" l="1"/>
  <c r="P43" i="2"/>
  <c r="Q71" i="2" l="1"/>
  <c r="F24" i="2"/>
  <c r="J10" i="2" l="1"/>
  <c r="U82" i="1" l="1"/>
  <c r="U79" i="1"/>
  <c r="U86" i="1"/>
  <c r="U84" i="1"/>
  <c r="Y75" i="1"/>
  <c r="Y80" i="1"/>
  <c r="Y83" i="1"/>
  <c r="Y87" i="1"/>
  <c r="Y59" i="1"/>
  <c r="Y77" i="1" l="1"/>
  <c r="O33" i="2"/>
  <c r="X67" i="1"/>
  <c r="X87" i="1" l="1"/>
  <c r="X83" i="1"/>
  <c r="X80" i="1"/>
  <c r="X76" i="1"/>
  <c r="X75" i="1"/>
  <c r="X69" i="1"/>
  <c r="X65" i="1"/>
  <c r="X62" i="1"/>
  <c r="X58" i="1"/>
  <c r="X57" i="1"/>
  <c r="X77" i="1" l="1"/>
  <c r="X59" i="1"/>
  <c r="P88" i="2" l="1"/>
  <c r="O49" i="2" l="1"/>
  <c r="P70" i="2"/>
  <c r="P72" i="2" l="1"/>
  <c r="P66" i="2" s="1"/>
  <c r="P91" i="2"/>
  <c r="P85" i="2" s="1"/>
  <c r="T58" i="1"/>
  <c r="T67" i="1" l="1"/>
  <c r="W87" i="1" l="1"/>
  <c r="W69" i="1"/>
  <c r="W67" i="1"/>
  <c r="W75" i="1"/>
  <c r="W76" i="1"/>
  <c r="W80" i="1"/>
  <c r="W83" i="1"/>
  <c r="W58" i="1"/>
  <c r="W62" i="1"/>
  <c r="W65" i="1"/>
  <c r="W59" i="1" l="1"/>
  <c r="W77" i="1"/>
  <c r="J31" i="2"/>
  <c r="J24" i="2"/>
  <c r="J17" i="2"/>
  <c r="V58" i="1"/>
  <c r="N43" i="2" l="1"/>
  <c r="N33" i="2"/>
  <c r="J33" i="2"/>
  <c r="O69" i="2" l="1"/>
  <c r="O88" i="2" l="1"/>
  <c r="O70" i="2"/>
  <c r="N49" i="2" l="1"/>
  <c r="O89" i="2"/>
  <c r="O72" i="2"/>
  <c r="O66" i="2" s="1"/>
  <c r="O91" i="2"/>
  <c r="O90" i="2" l="1"/>
  <c r="O71" i="2"/>
  <c r="O85" i="2"/>
  <c r="S69" i="1" l="1"/>
  <c r="S67" i="1"/>
  <c r="J91" i="2" l="1"/>
  <c r="E33" i="2"/>
  <c r="F33" i="2"/>
  <c r="G33" i="2"/>
  <c r="H33" i="2"/>
  <c r="I33" i="2"/>
  <c r="M33" i="2"/>
  <c r="N69" i="2" l="1"/>
  <c r="L33" i="2"/>
  <c r="K33" i="2"/>
  <c r="N88" i="2" l="1"/>
  <c r="L88" i="2"/>
  <c r="M88" i="2"/>
  <c r="K69" i="2"/>
  <c r="K88" i="2"/>
  <c r="T49" i="2" l="1"/>
  <c r="T53" i="2"/>
  <c r="R88" i="2"/>
  <c r="T88" i="2"/>
  <c r="S88" i="2"/>
  <c r="R53" i="2"/>
  <c r="S53" i="2"/>
  <c r="M69" i="2"/>
  <c r="L69" i="2"/>
  <c r="T85" i="2" l="1"/>
  <c r="S85" i="2"/>
  <c r="R85" i="2"/>
  <c r="N91" i="2"/>
  <c r="N85" i="2" s="1"/>
  <c r="N72" i="2"/>
  <c r="S89" i="2" l="1"/>
  <c r="S49" i="2"/>
  <c r="N66" i="2"/>
  <c r="I7" i="2"/>
  <c r="I10" i="2" s="1"/>
  <c r="J67" i="2"/>
  <c r="V76" i="1"/>
  <c r="U76" i="1"/>
  <c r="T76" i="1"/>
  <c r="S76" i="1"/>
  <c r="S77" i="1" s="1"/>
  <c r="V75" i="1"/>
  <c r="U75" i="1"/>
  <c r="T75" i="1"/>
  <c r="Q76" i="1"/>
  <c r="Q75" i="1"/>
  <c r="V83" i="1"/>
  <c r="U83" i="1"/>
  <c r="T83" i="1"/>
  <c r="S83" i="1"/>
  <c r="R83" i="1"/>
  <c r="Q83" i="1"/>
  <c r="V80" i="1"/>
  <c r="U80" i="1"/>
  <c r="T80" i="1"/>
  <c r="S80" i="1"/>
  <c r="R80" i="1"/>
  <c r="Q80" i="1"/>
  <c r="R76" i="1"/>
  <c r="R75" i="1"/>
  <c r="V87" i="1"/>
  <c r="V85" i="1"/>
  <c r="U58" i="1"/>
  <c r="S58" i="1"/>
  <c r="V57" i="1"/>
  <c r="U57" i="1"/>
  <c r="T57" i="1"/>
  <c r="T59" i="1" s="1"/>
  <c r="S57" i="1"/>
  <c r="R65" i="1"/>
  <c r="S65" i="1"/>
  <c r="T65" i="1"/>
  <c r="U65" i="1"/>
  <c r="V65" i="1"/>
  <c r="Q65" i="1"/>
  <c r="S62" i="1"/>
  <c r="T62" i="1"/>
  <c r="U62" i="1"/>
  <c r="V62" i="1"/>
  <c r="Q62" i="1"/>
  <c r="R58" i="1"/>
  <c r="Q58" i="1"/>
  <c r="Q57" i="1"/>
  <c r="V67" i="1"/>
  <c r="V69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K69" i="1"/>
  <c r="L69" i="1"/>
  <c r="E69" i="1"/>
  <c r="F69" i="1"/>
  <c r="G69" i="1"/>
  <c r="H69" i="1"/>
  <c r="I69" i="1"/>
  <c r="J69" i="1"/>
  <c r="M69" i="1"/>
  <c r="N69" i="1"/>
  <c r="O69" i="1"/>
  <c r="P69" i="1"/>
  <c r="Q69" i="1"/>
  <c r="D69" i="1"/>
  <c r="T69" i="1"/>
  <c r="U69" i="1"/>
  <c r="R67" i="1"/>
  <c r="M85" i="1"/>
  <c r="N85" i="1"/>
  <c r="O85" i="1"/>
  <c r="P85" i="1"/>
  <c r="Q85" i="1"/>
  <c r="R85" i="1"/>
  <c r="S85" i="1"/>
  <c r="T85" i="1"/>
  <c r="U85" i="1"/>
  <c r="M67" i="1"/>
  <c r="N67" i="1"/>
  <c r="O67" i="1"/>
  <c r="P67" i="1"/>
  <c r="U67" i="1"/>
  <c r="I71" i="2"/>
  <c r="H71" i="2"/>
  <c r="G71" i="2"/>
  <c r="F71" i="2"/>
  <c r="E71" i="2"/>
  <c r="F72" i="2"/>
  <c r="F74" i="2" s="1"/>
  <c r="G72" i="2"/>
  <c r="G74" i="2" s="1"/>
  <c r="H72" i="2"/>
  <c r="H74" i="2" s="1"/>
  <c r="I72" i="2"/>
  <c r="I66" i="2" s="1"/>
  <c r="E74" i="2"/>
  <c r="G67" i="2"/>
  <c r="E67" i="2"/>
  <c r="F67" i="2"/>
  <c r="H67" i="2"/>
  <c r="I67" i="2"/>
  <c r="H89" i="2"/>
  <c r="I89" i="2"/>
  <c r="F89" i="2"/>
  <c r="G89" i="2"/>
  <c r="E89" i="2"/>
  <c r="F88" i="2"/>
  <c r="G88" i="2"/>
  <c r="H88" i="2"/>
  <c r="I88" i="2"/>
  <c r="E88" i="2"/>
  <c r="E49" i="2"/>
  <c r="F49" i="2"/>
  <c r="G49" i="2"/>
  <c r="H49" i="2"/>
  <c r="D49" i="2"/>
  <c r="H92" i="2"/>
  <c r="I92" i="2"/>
  <c r="F92" i="2"/>
  <c r="G92" i="2"/>
  <c r="E92" i="2"/>
  <c r="F91" i="2"/>
  <c r="G91" i="2"/>
  <c r="H91" i="2"/>
  <c r="I91" i="2"/>
  <c r="E91" i="2"/>
  <c r="E28" i="2"/>
  <c r="E31" i="2" s="1"/>
  <c r="F31" i="2"/>
  <c r="G31" i="2"/>
  <c r="H31" i="2"/>
  <c r="E24" i="2"/>
  <c r="G24" i="2"/>
  <c r="H24" i="2"/>
  <c r="D24" i="2"/>
  <c r="H17" i="2"/>
  <c r="G17" i="2"/>
  <c r="F17" i="2"/>
  <c r="E17" i="2"/>
  <c r="J72" i="2"/>
  <c r="K72" i="2"/>
  <c r="J88" i="2"/>
  <c r="E40" i="2"/>
  <c r="F40" i="2"/>
  <c r="G40" i="2"/>
  <c r="H40" i="2"/>
  <c r="D40" i="2"/>
  <c r="H10" i="2"/>
  <c r="E10" i="2"/>
  <c r="F10" i="2"/>
  <c r="G10" i="2"/>
  <c r="L82" i="1"/>
  <c r="K82" i="1"/>
  <c r="J82" i="1"/>
  <c r="I82" i="1"/>
  <c r="H82" i="1"/>
  <c r="G82" i="1"/>
  <c r="F82" i="1"/>
  <c r="E82" i="1"/>
  <c r="D82" i="1"/>
  <c r="L81" i="1"/>
  <c r="L85" i="1" s="1"/>
  <c r="K81" i="1"/>
  <c r="J81" i="1"/>
  <c r="J85" i="1" s="1"/>
  <c r="I81" i="1"/>
  <c r="I85" i="1" s="1"/>
  <c r="H81" i="1"/>
  <c r="H85" i="1" s="1"/>
  <c r="G81" i="1"/>
  <c r="G85" i="1" s="1"/>
  <c r="F81" i="1"/>
  <c r="F85" i="1" s="1"/>
  <c r="E81" i="1"/>
  <c r="E85" i="1" s="1"/>
  <c r="D81" i="1"/>
  <c r="D85" i="1" s="1"/>
  <c r="L80" i="1"/>
  <c r="K80" i="1"/>
  <c r="J80" i="1"/>
  <c r="I80" i="1"/>
  <c r="H80" i="1"/>
  <c r="G80" i="1"/>
  <c r="F80" i="1"/>
  <c r="E80" i="1"/>
  <c r="D80" i="1"/>
  <c r="L77" i="1"/>
  <c r="K77" i="1"/>
  <c r="J77" i="1"/>
  <c r="I77" i="1"/>
  <c r="H77" i="1"/>
  <c r="G77" i="1"/>
  <c r="F77" i="1"/>
  <c r="E77" i="1"/>
  <c r="D77" i="1"/>
  <c r="L64" i="1"/>
  <c r="K64" i="1"/>
  <c r="J64" i="1"/>
  <c r="I64" i="1"/>
  <c r="H64" i="1"/>
  <c r="G64" i="1"/>
  <c r="F64" i="1"/>
  <c r="E64" i="1"/>
  <c r="D64" i="1"/>
  <c r="L63" i="1"/>
  <c r="K63" i="1"/>
  <c r="K67" i="1" s="1"/>
  <c r="J63" i="1"/>
  <c r="J67" i="1" s="1"/>
  <c r="I63" i="1"/>
  <c r="I67" i="1" s="1"/>
  <c r="H63" i="1"/>
  <c r="H67" i="1" s="1"/>
  <c r="G63" i="1"/>
  <c r="G67" i="1" s="1"/>
  <c r="F63" i="1"/>
  <c r="F67" i="1" s="1"/>
  <c r="E63" i="1"/>
  <c r="E67" i="1" s="1"/>
  <c r="D63" i="1"/>
  <c r="L62" i="1"/>
  <c r="K62" i="1"/>
  <c r="J62" i="1"/>
  <c r="I62" i="1"/>
  <c r="H62" i="1"/>
  <c r="G62" i="1"/>
  <c r="F62" i="1"/>
  <c r="E62" i="1"/>
  <c r="D62" i="1"/>
  <c r="L59" i="1"/>
  <c r="K59" i="1"/>
  <c r="J59" i="1"/>
  <c r="I59" i="1"/>
  <c r="H59" i="1"/>
  <c r="G59" i="1"/>
  <c r="F59" i="1"/>
  <c r="E59" i="1"/>
  <c r="D59" i="1"/>
  <c r="S71" i="2" l="1"/>
  <c r="S90" i="2"/>
  <c r="T77" i="1"/>
  <c r="T89" i="2"/>
  <c r="E90" i="2"/>
  <c r="I74" i="2"/>
  <c r="U77" i="1"/>
  <c r="H43" i="2"/>
  <c r="H36" i="2"/>
  <c r="F43" i="2"/>
  <c r="F36" i="2"/>
  <c r="D43" i="2"/>
  <c r="D36" i="2"/>
  <c r="G43" i="2"/>
  <c r="G36" i="2"/>
  <c r="E43" i="2"/>
  <c r="E36" i="2"/>
  <c r="F66" i="2"/>
  <c r="F68" i="2" s="1"/>
  <c r="F85" i="2"/>
  <c r="I90" i="2"/>
  <c r="F90" i="2"/>
  <c r="H90" i="2"/>
  <c r="E86" i="2"/>
  <c r="I86" i="2"/>
  <c r="L83" i="1"/>
  <c r="E85" i="2"/>
  <c r="J65" i="1"/>
  <c r="I93" i="2"/>
  <c r="I68" i="2"/>
  <c r="L72" i="2"/>
  <c r="L66" i="2" s="1"/>
  <c r="F86" i="2"/>
  <c r="I85" i="2"/>
  <c r="M91" i="2"/>
  <c r="M85" i="2" s="1"/>
  <c r="M72" i="2"/>
  <c r="S59" i="1"/>
  <c r="G65" i="1"/>
  <c r="K83" i="1"/>
  <c r="J83" i="1"/>
  <c r="L65" i="1"/>
  <c r="Q59" i="1"/>
  <c r="H66" i="2"/>
  <c r="H68" i="2" s="1"/>
  <c r="H85" i="2"/>
  <c r="G86" i="2"/>
  <c r="G90" i="2"/>
  <c r="E93" i="2"/>
  <c r="V59" i="1"/>
  <c r="U59" i="1"/>
  <c r="V77" i="1"/>
  <c r="D65" i="1"/>
  <c r="H65" i="1"/>
  <c r="D83" i="1"/>
  <c r="G66" i="2"/>
  <c r="G68" i="2" s="1"/>
  <c r="L91" i="2"/>
  <c r="I65" i="1"/>
  <c r="K91" i="2"/>
  <c r="K85" i="2" s="1"/>
  <c r="H93" i="2"/>
  <c r="E68" i="2"/>
  <c r="Q77" i="1"/>
  <c r="E83" i="1"/>
  <c r="G85" i="2"/>
  <c r="F93" i="2"/>
  <c r="R77" i="1"/>
  <c r="J71" i="2"/>
  <c r="J85" i="2"/>
  <c r="K66" i="2"/>
  <c r="J74" i="2"/>
  <c r="J66" i="2"/>
  <c r="J68" i="2" s="1"/>
  <c r="F83" i="1"/>
  <c r="E65" i="1"/>
  <c r="G83" i="1"/>
  <c r="I83" i="1"/>
  <c r="H86" i="2"/>
  <c r="G93" i="2"/>
  <c r="D67" i="1"/>
  <c r="K85" i="1"/>
  <c r="L67" i="1"/>
  <c r="K65" i="1"/>
  <c r="F65" i="1"/>
  <c r="H83" i="1"/>
  <c r="T90" i="2" l="1"/>
  <c r="F87" i="2"/>
  <c r="E87" i="2"/>
  <c r="I87" i="2"/>
  <c r="M66" i="2"/>
  <c r="G87" i="2"/>
  <c r="H87" i="2"/>
  <c r="L85" i="2"/>
  <c r="K10" i="2"/>
  <c r="I17" i="2"/>
  <c r="I24" i="2"/>
  <c r="I31" i="2"/>
  <c r="L10" i="2" l="1"/>
  <c r="J92" i="2"/>
  <c r="J93" i="2" s="1"/>
  <c r="K31" i="2" l="1"/>
  <c r="K30" i="2"/>
  <c r="L17" i="2"/>
  <c r="L16" i="2"/>
  <c r="K73" i="2"/>
  <c r="K74" i="2" s="1"/>
  <c r="M30" i="2"/>
  <c r="M31" i="2"/>
  <c r="L30" i="2"/>
  <c r="L31" i="2"/>
  <c r="K17" i="2"/>
  <c r="K16" i="2"/>
  <c r="Q67" i="1"/>
  <c r="I40" i="2"/>
  <c r="J89" i="2"/>
  <c r="J90" i="2" s="1"/>
  <c r="I49" i="2"/>
  <c r="I43" i="2" l="1"/>
  <c r="I36" i="2"/>
  <c r="M9" i="2"/>
  <c r="M10" i="2"/>
  <c r="K92" i="2"/>
  <c r="K93" i="2" s="1"/>
  <c r="J86" i="2"/>
  <c r="J87" i="2" s="1"/>
  <c r="M17" i="2" l="1"/>
  <c r="K43" i="2"/>
  <c r="J43" i="2"/>
  <c r="L43" i="2"/>
  <c r="L49" i="2"/>
  <c r="K49" i="2"/>
  <c r="J49" i="2"/>
  <c r="M49" i="2"/>
  <c r="M43" i="2"/>
  <c r="O30" i="2" l="1"/>
  <c r="O31" i="2"/>
  <c r="N17" i="2"/>
  <c r="N9" i="2"/>
  <c r="N10" i="2"/>
  <c r="L70" i="2"/>
  <c r="L71" i="2" s="1"/>
  <c r="N70" i="2"/>
  <c r="N71" i="2" s="1"/>
  <c r="M70" i="2"/>
  <c r="N89" i="2"/>
  <c r="M89" i="2"/>
  <c r="K70" i="2"/>
  <c r="K71" i="2" s="1"/>
  <c r="K89" i="2"/>
  <c r="K90" i="2" s="1"/>
  <c r="L89" i="2"/>
  <c r="T10" i="2" l="1"/>
  <c r="Y8" i="2" s="1"/>
  <c r="O16" i="2"/>
  <c r="N90" i="2"/>
  <c r="M71" i="2"/>
  <c r="M90" i="2"/>
  <c r="K67" i="2"/>
  <c r="K68" i="2" s="1"/>
  <c r="K86" i="2"/>
  <c r="K87" i="2" s="1"/>
  <c r="L90" i="2"/>
  <c r="Q10" i="2" l="1"/>
  <c r="P31" i="2"/>
  <c r="O17" i="2"/>
  <c r="R62" i="1"/>
  <c r="R57" i="1"/>
  <c r="R59" i="1" s="1"/>
  <c r="R69" i="1"/>
  <c r="T31" i="2" l="1"/>
  <c r="Y29" i="2" s="1"/>
  <c r="K23" i="2"/>
  <c r="R31" i="2" l="1"/>
  <c r="S31" i="2"/>
  <c r="Q31" i="2"/>
  <c r="P17" i="2"/>
  <c r="S10" i="2"/>
  <c r="M24" i="2"/>
  <c r="L73" i="2"/>
  <c r="M23" i="2"/>
  <c r="L23" i="2"/>
  <c r="M73" i="2" s="1"/>
  <c r="L24" i="2"/>
  <c r="K24" i="2"/>
  <c r="L92" i="2"/>
  <c r="T17" i="2" l="1"/>
  <c r="Y15" i="2" s="1"/>
  <c r="N92" i="2"/>
  <c r="N86" i="2" s="1"/>
  <c r="N87" i="2" s="1"/>
  <c r="N73" i="2"/>
  <c r="N74" i="2" s="1"/>
  <c r="M74" i="2"/>
  <c r="M67" i="2"/>
  <c r="M68" i="2" s="1"/>
  <c r="L93" i="2"/>
  <c r="L86" i="2"/>
  <c r="L87" i="2" s="1"/>
  <c r="M92" i="2"/>
  <c r="L74" i="2"/>
  <c r="L67" i="2"/>
  <c r="L68" i="2" s="1"/>
  <c r="S17" i="2" l="1"/>
  <c r="R17" i="2"/>
  <c r="Q17" i="2"/>
  <c r="N93" i="2"/>
  <c r="N67" i="2"/>
  <c r="N68" i="2" s="1"/>
  <c r="M93" i="2"/>
  <c r="M86" i="2"/>
  <c r="M87" i="2" s="1"/>
  <c r="N23" i="2" l="1"/>
  <c r="O73" i="2" s="1"/>
  <c r="N24" i="2"/>
  <c r="O92" i="2" l="1"/>
  <c r="O86" i="2" s="1"/>
  <c r="O87" i="2" s="1"/>
  <c r="O74" i="2"/>
  <c r="O67" i="2"/>
  <c r="O68" i="2" s="1"/>
  <c r="O24" i="2" l="1"/>
  <c r="O23" i="2"/>
  <c r="P92" i="2" s="1"/>
  <c r="O93" i="2"/>
  <c r="P73" i="2" l="1"/>
  <c r="P67" i="2" s="1"/>
  <c r="P93" i="2"/>
  <c r="P24" i="2" l="1"/>
  <c r="P74" i="2"/>
  <c r="T24" i="2" l="1"/>
  <c r="Y22" i="2" s="1"/>
  <c r="Q68" i="2"/>
  <c r="Q74" i="2"/>
  <c r="S24" i="2" l="1"/>
  <c r="T92" i="2"/>
  <c r="R24" i="2"/>
  <c r="S92" i="2"/>
  <c r="Q24" i="2"/>
  <c r="R92" i="2"/>
  <c r="T86" i="2" l="1"/>
  <c r="R73" i="2"/>
  <c r="S86" i="2"/>
  <c r="P89" i="2"/>
  <c r="O43" i="2"/>
  <c r="R74" i="2" l="1"/>
  <c r="S74" i="2"/>
  <c r="S87" i="2"/>
  <c r="S93" i="2"/>
  <c r="R93" i="2"/>
  <c r="T93" i="2"/>
  <c r="T87" i="2"/>
  <c r="P86" i="2"/>
  <c r="P87" i="2" s="1"/>
  <c r="P90" i="2"/>
  <c r="S68" i="2" l="1"/>
  <c r="P71" i="2"/>
  <c r="P68" i="2"/>
  <c r="R67" i="2" l="1"/>
  <c r="Q46" i="2"/>
  <c r="R89" i="2"/>
  <c r="R90" i="2" l="1"/>
  <c r="R68" i="2"/>
  <c r="Q53" i="2"/>
  <c r="R86" i="2"/>
  <c r="Q49" i="2"/>
  <c r="R71" i="2"/>
  <c r="R87" i="2" l="1"/>
  <c r="U49" i="2"/>
  <c r="U53" i="2"/>
  <c r="AB57" i="1" l="1"/>
  <c r="AB62" i="1"/>
  <c r="AB59" i="1" l="1"/>
</calcChain>
</file>

<file path=xl/sharedStrings.xml><?xml version="1.0" encoding="utf-8"?>
<sst xmlns="http://schemas.openxmlformats.org/spreadsheetml/2006/main" count="228" uniqueCount="90">
  <si>
    <t>A/</t>
  </si>
  <si>
    <t xml:space="preserve">Tabuľka počtov žiakov na učiteľa podľa medzinárodnej metodiky </t>
  </si>
  <si>
    <t>Do počtu žiakov nie sú započítaní žiaci škôl pri zdravotníckych zariadeniach a stredísk praktického vyučovania</t>
  </si>
  <si>
    <t>Do počtu žiakov sú započítaní žiaci dennej a externej formy štúdia</t>
  </si>
  <si>
    <t>Žiaci externej formy sú prepočítaní koeficientom 0,25</t>
  </si>
  <si>
    <t>Do špeciálnych škôl sú započítaní žiaci špeciálnych škôl a špeciálnych tried pri bežných školách bez žiakov škôl pri zdravotníckych zariadeniach</t>
  </si>
  <si>
    <t>Do počtu učiteľov sú započítaní aj učitelia škôl pri zdravotníckych zariadeniach.</t>
  </si>
  <si>
    <t>Učitelia na kratší pracovný čas sú prepočítaní koeficientom 0,25</t>
  </si>
  <si>
    <t>rok</t>
  </si>
  <si>
    <t>Školy celkom</t>
  </si>
  <si>
    <t>počet žiakov</t>
  </si>
  <si>
    <t>počet učiteľov</t>
  </si>
  <si>
    <t>počet žiakov na 1 učiteľa</t>
  </si>
  <si>
    <t>Špeciálne školy</t>
  </si>
  <si>
    <t>Ostatné školy</t>
  </si>
  <si>
    <t>B/</t>
  </si>
  <si>
    <t>V porovnaní s tabuľkou A/ - nie sú prepočítaní žiaci externej formy štúdia koeficientom 0,25, ale je uvedený ich celkový počet</t>
  </si>
  <si>
    <t>základné školy</t>
  </si>
  <si>
    <t>žiaci</t>
  </si>
  <si>
    <t>gymnáziá</t>
  </si>
  <si>
    <t>špeciálne SŠ</t>
  </si>
  <si>
    <t>Z</t>
  </si>
  <si>
    <t>U</t>
  </si>
  <si>
    <t>Ui</t>
  </si>
  <si>
    <t>Ue</t>
  </si>
  <si>
    <t>Ze</t>
  </si>
  <si>
    <t>Zi</t>
  </si>
  <si>
    <t>ostatné</t>
  </si>
  <si>
    <t>špeciálne</t>
  </si>
  <si>
    <t>spolu</t>
  </si>
  <si>
    <t>Tabuľka B</t>
  </si>
  <si>
    <t>Tabuľka A</t>
  </si>
  <si>
    <t>prognóza a odhad</t>
  </si>
  <si>
    <t xml:space="preserve">SOŠ </t>
  </si>
  <si>
    <t xml:space="preserve">konzervatóriá </t>
  </si>
  <si>
    <t xml:space="preserve">špeciálne ZŠ </t>
  </si>
  <si>
    <t>Spracovali:</t>
  </si>
  <si>
    <t>Ing. Jana Čabalová</t>
  </si>
  <si>
    <t>odhad podielu interných U</t>
  </si>
  <si>
    <t>z celkového počtu žiaci ZŠ</t>
  </si>
  <si>
    <t>z celkového počtu žiaci SŠ</t>
  </si>
  <si>
    <t>z celkového počtu žiaci ŠZŠ</t>
  </si>
  <si>
    <t>z celkového počtu žiaci ŠSŠ</t>
  </si>
  <si>
    <t>Ui/U</t>
  </si>
  <si>
    <t>parameter</t>
  </si>
  <si>
    <t>SŠ</t>
  </si>
  <si>
    <t>Z/U</t>
  </si>
  <si>
    <t>CVTI SR</t>
  </si>
  <si>
    <t>zdroj:</t>
  </si>
  <si>
    <t>odhad (SŠš/SŠ)</t>
  </si>
  <si>
    <t>odhad (U/Z)</t>
  </si>
  <si>
    <t>odhad (ZZŠš/ZZŠ)</t>
  </si>
  <si>
    <t>Mgr. Miroslav Dubovský</t>
  </si>
  <si>
    <t>Východiská a spôsob výpočtu je uvedený na liste "podklad".</t>
  </si>
  <si>
    <t>špeciálne ZŠ + ZŠ</t>
  </si>
  <si>
    <t>Spolu U</t>
  </si>
  <si>
    <t>Počty odídencov z Ukrajiny</t>
  </si>
  <si>
    <t>Učitelia spolu</t>
  </si>
  <si>
    <t>Žiaci spolu</t>
  </si>
  <si>
    <t>odhad podielu externých Z (stúpajúci trend)</t>
  </si>
  <si>
    <t>odhad podielu externých Z (oscilácia)</t>
  </si>
  <si>
    <t>Údaje celkom vrátane utečencov/odídencov z Ukrajiny</t>
  </si>
  <si>
    <t>Údaje bez utečencov/odídencov z Ukrajiny</t>
  </si>
  <si>
    <t>špeciálne ZS</t>
  </si>
  <si>
    <t>špeciálne SS</t>
  </si>
  <si>
    <t>stredné školy spolu</t>
  </si>
  <si>
    <t>v tom GYM</t>
  </si>
  <si>
    <t>v tom KONZ</t>
  </si>
  <si>
    <t>v tom SOŠ</t>
  </si>
  <si>
    <t>a z prepočtov  "Prognózy obyvateľov SR na roky 2022-2060, stredný variant", ktorú spracovalo Výskumné demografické centrum ŠÚ SR.</t>
  </si>
  <si>
    <t>Anticipácia počtu žiakov (Z), učiteľov (U) regionálneho školstva do roku 2027</t>
  </si>
  <si>
    <t>Kontrola</t>
  </si>
  <si>
    <t>1 x ext</t>
  </si>
  <si>
    <t>15 x exter</t>
  </si>
  <si>
    <t>model ZŠ 2025</t>
  </si>
  <si>
    <t>priemer Z/U (2019 -2024)</t>
  </si>
  <si>
    <t>priemer (2019 - 2024) podielu interných U</t>
  </si>
  <si>
    <t>model GYM 2025</t>
  </si>
  <si>
    <t>priemer (2019-2024) podielu interných U</t>
  </si>
  <si>
    <t>model SOŠ 2025</t>
  </si>
  <si>
    <t>model KON 2025</t>
  </si>
  <si>
    <t>priemer (U/Z) (2019-2024)</t>
  </si>
  <si>
    <t>anticipácia (2025-2028)</t>
  </si>
  <si>
    <t>anticipácia (2025 -2028)</t>
  </si>
  <si>
    <t xml:space="preserve">1/ Odhady vývoja počtu žiakov a učiteľov v regionálnom školstve boli aktualizované za obdobie rokov 2025 až 2028. Vychádzajú z prognostických modelov regionálneho školstva (CVTI SR) </t>
  </si>
  <si>
    <t>2/ Reálne údaje do roku 2024 (vrátane) ako aj prognóza o počte žiakov sú v prvých dvoch tabuľkách na tejto záložke uvedené bez odídencov / utečencov z Ukrajiny. V nasledujúcich dvoch</t>
  </si>
  <si>
    <t xml:space="preserve"> tabuľkách sú z dôvodu zachovania historickej kontinuty časových radov, a teda rovnakého spôsobu započítavania žiakov / študentov reálne údaje vedené do roku 2024 (vrátane)</t>
  </si>
  <si>
    <t xml:space="preserve"> aj s odídencami / utečencami z Ukrajiny. V posledných dvoch tabuľkách sú teda zarátaní všetci žiaci a študenti bez rozdielu tak ako tomu bolo celom časovom rade od začiatku.</t>
  </si>
  <si>
    <t>Dňa: 12.5.2025</t>
  </si>
  <si>
    <t>3/ Nad týmto textom je tabuľka s počtom žiakov - odídencov / utečencov z Ukrajiny. Počty žiakov sú podrobne rozpísané v štruktúre podľa druhu školy.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</si>
</sst>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0.0%"/>
    <numFmt numFmtId="166" formatCode="0.000"/>
    <numFmt numFmtId="167" formatCode="#,##0.000"/>
    <numFmt numFmtId="168" formatCode="0.0000"/>
    <numFmt numFmtId="169" formatCode="#,##0.0"/>
    <numFmt numFmtId="170" formatCode="#,##0.00000"/>
    <numFmt numFmtId="171" formatCode="#,##0.0000"/>
  </numFmts>
  <fonts count="4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b/>
      <sz val="12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1"/>
      <name val="Times New Roman"/>
      <family val="1"/>
      <charset val="238"/>
    </font>
    <font>
      <b/>
      <sz val="11"/>
      <color theme="6" tint="-0.249977111117893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9"/>
      <color theme="6" tint="-0.249977111117893"/>
      <name val="Calibri"/>
      <family val="2"/>
      <charset val="238"/>
    </font>
    <font>
      <sz val="11"/>
      <color theme="6" tint="-0.249977111117893"/>
      <name val="Calibri"/>
      <family val="2"/>
      <charset val="238"/>
    </font>
    <font>
      <sz val="11"/>
      <color theme="4" tint="-0.249977111117893"/>
      <name val="Calibri"/>
      <family val="2"/>
      <charset val="238"/>
      <scheme val="minor"/>
    </font>
    <font>
      <i/>
      <sz val="11"/>
      <color theme="4" tint="-0.249977111117893"/>
      <name val="Calibri"/>
      <family val="2"/>
      <charset val="238"/>
    </font>
    <font>
      <i/>
      <sz val="11"/>
      <color indexed="8"/>
      <name val="Calibri"/>
      <family val="2"/>
      <charset val="238"/>
      <scheme val="minor"/>
    </font>
    <font>
      <i/>
      <sz val="11"/>
      <color theme="4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mbria"/>
      <family val="1"/>
      <charset val="238"/>
      <scheme val="major"/>
    </font>
    <font>
      <i/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</font>
    <font>
      <i/>
      <sz val="11"/>
      <name val="Calibri"/>
      <family val="2"/>
      <charset val="238"/>
      <scheme val="minor"/>
    </font>
    <font>
      <i/>
      <sz val="11"/>
      <name val="Calibri"/>
      <family val="2"/>
      <charset val="238"/>
    </font>
    <font>
      <b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</font>
    <font>
      <b/>
      <sz val="10"/>
      <color theme="6" tint="-0.249977111117893"/>
      <name val="Arial"/>
      <family val="2"/>
      <charset val="238"/>
    </font>
    <font>
      <b/>
      <sz val="22"/>
      <color indexed="8"/>
      <name val="Times New Roman"/>
      <family val="1"/>
      <charset val="238"/>
    </font>
    <font>
      <b/>
      <sz val="24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9" fontId="9" fillId="0" borderId="0" applyFont="0" applyFill="0" applyBorder="0" applyAlignment="0" applyProtection="0"/>
    <xf numFmtId="0" fontId="28" fillId="0" borderId="0"/>
    <xf numFmtId="0" fontId="5" fillId="0" borderId="0"/>
  </cellStyleXfs>
  <cellXfs count="412">
    <xf numFmtId="0" fontId="0" fillId="0" borderId="0" xfId="0"/>
    <xf numFmtId="1" fontId="6" fillId="0" borderId="0" xfId="0" applyNumberFormat="1" applyFont="1"/>
    <xf numFmtId="0" fontId="7" fillId="0" borderId="0" xfId="0" applyFont="1"/>
    <xf numFmtId="1" fontId="7" fillId="0" borderId="0" xfId="0" applyNumberFormat="1" applyFont="1"/>
    <xf numFmtId="3" fontId="7" fillId="0" borderId="0" xfId="0" applyNumberFormat="1" applyFont="1"/>
    <xf numFmtId="0" fontId="7" fillId="0" borderId="0" xfId="0" applyFont="1" applyFill="1"/>
    <xf numFmtId="3" fontId="7" fillId="0" borderId="0" xfId="0" applyNumberFormat="1" applyFont="1" applyFill="1"/>
    <xf numFmtId="1" fontId="0" fillId="0" borderId="0" xfId="0" applyNumberFormat="1"/>
    <xf numFmtId="0" fontId="0" fillId="0" borderId="0" xfId="0" applyBorder="1"/>
    <xf numFmtId="166" fontId="0" fillId="0" borderId="0" xfId="0" applyNumberFormat="1"/>
    <xf numFmtId="0" fontId="0" fillId="0" borderId="0" xfId="0" applyAlignment="1">
      <alignment horizontal="center"/>
    </xf>
    <xf numFmtId="0" fontId="11" fillId="0" borderId="0" xfId="0" applyFont="1"/>
    <xf numFmtId="164" fontId="0" fillId="0" borderId="0" xfId="0" applyNumberFormat="1" applyBorder="1"/>
    <xf numFmtId="14" fontId="7" fillId="0" borderId="0" xfId="0" applyNumberFormat="1" applyFont="1"/>
    <xf numFmtId="164" fontId="12" fillId="0" borderId="0" xfId="0" applyNumberFormat="1" applyFont="1" applyBorder="1"/>
    <xf numFmtId="0" fontId="14" fillId="0" borderId="0" xfId="0" applyFont="1"/>
    <xf numFmtId="0" fontId="7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164" fontId="0" fillId="0" borderId="0" xfId="0" applyNumberFormat="1"/>
    <xf numFmtId="3" fontId="18" fillId="0" borderId="1" xfId="0" applyNumberFormat="1" applyFont="1" applyBorder="1" applyAlignme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19" fillId="0" borderId="0" xfId="0" applyFont="1" applyAlignment="1">
      <alignment horizontal="center"/>
    </xf>
    <xf numFmtId="165" fontId="20" fillId="0" borderId="0" xfId="0" applyNumberFormat="1" applyFont="1" applyAlignment="1">
      <alignment horizontal="center"/>
    </xf>
    <xf numFmtId="3" fontId="21" fillId="0" borderId="1" xfId="0" applyNumberFormat="1" applyFont="1" applyBorder="1" applyAlignment="1"/>
    <xf numFmtId="166" fontId="0" fillId="0" borderId="0" xfId="0" applyNumberFormat="1" applyAlignment="1">
      <alignment horizontal="center"/>
    </xf>
    <xf numFmtId="166" fontId="20" fillId="0" borderId="0" xfId="0" applyNumberFormat="1" applyFont="1" applyAlignment="1">
      <alignment horizontal="center"/>
    </xf>
    <xf numFmtId="1" fontId="15" fillId="0" borderId="0" xfId="0" applyNumberFormat="1" applyFont="1"/>
    <xf numFmtId="3" fontId="15" fillId="0" borderId="0" xfId="0" applyNumberFormat="1" applyFont="1"/>
    <xf numFmtId="3" fontId="21" fillId="0" borderId="1" xfId="0" applyNumberFormat="1" applyFont="1" applyBorder="1" applyAlignment="1">
      <alignment horizontal="right"/>
    </xf>
    <xf numFmtId="164" fontId="20" fillId="0" borderId="0" xfId="0" applyNumberFormat="1" applyFont="1" applyAlignment="1">
      <alignment horizontal="center"/>
    </xf>
    <xf numFmtId="167" fontId="0" fillId="0" borderId="0" xfId="2" applyNumberFormat="1" applyFont="1"/>
    <xf numFmtId="0" fontId="25" fillId="0" borderId="0" xfId="0" applyFont="1"/>
    <xf numFmtId="10" fontId="25" fillId="0" borderId="0" xfId="2" applyNumberFormat="1" applyFont="1"/>
    <xf numFmtId="164" fontId="25" fillId="0" borderId="0" xfId="2" applyNumberFormat="1" applyFont="1"/>
    <xf numFmtId="0" fontId="25" fillId="0" borderId="0" xfId="0" applyFont="1" applyAlignment="1">
      <alignment horizontal="center"/>
    </xf>
    <xf numFmtId="0" fontId="26" fillId="0" borderId="0" xfId="0" applyFont="1"/>
    <xf numFmtId="0" fontId="26" fillId="0" borderId="0" xfId="0" applyFont="1" applyFill="1"/>
    <xf numFmtId="0" fontId="27" fillId="0" borderId="0" xfId="0" applyFont="1"/>
    <xf numFmtId="166" fontId="0" fillId="0" borderId="0" xfId="2" applyNumberFormat="1" applyFont="1"/>
    <xf numFmtId="0" fontId="4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32" fillId="0" borderId="0" xfId="0" applyFont="1" applyFill="1"/>
    <xf numFmtId="167" fontId="15" fillId="0" borderId="0" xfId="0" applyNumberFormat="1" applyFont="1"/>
    <xf numFmtId="165" fontId="15" fillId="0" borderId="0" xfId="0" applyNumberFormat="1" applyFont="1"/>
    <xf numFmtId="165" fontId="0" fillId="0" borderId="0" xfId="0" applyNumberFormat="1"/>
    <xf numFmtId="167" fontId="0" fillId="0" borderId="0" xfId="0" applyNumberFormat="1"/>
    <xf numFmtId="3" fontId="21" fillId="0" borderId="0" xfId="0" applyNumberFormat="1" applyFont="1" applyBorder="1" applyAlignment="1">
      <alignment horizontal="right"/>
    </xf>
    <xf numFmtId="0" fontId="0" fillId="0" borderId="0" xfId="0" applyFill="1"/>
    <xf numFmtId="0" fontId="28" fillId="0" borderId="0" xfId="0" applyFont="1" applyFill="1"/>
    <xf numFmtId="3" fontId="18" fillId="0" borderId="0" xfId="0" applyNumberFormat="1" applyFont="1" applyBorder="1" applyAlignment="1"/>
    <xf numFmtId="3" fontId="25" fillId="0" borderId="10" xfId="0" applyNumberFormat="1" applyFont="1" applyBorder="1"/>
    <xf numFmtId="3" fontId="4" fillId="0" borderId="10" xfId="0" applyNumberFormat="1" applyFont="1" applyFill="1" applyBorder="1"/>
    <xf numFmtId="3" fontId="21" fillId="0" borderId="10" xfId="0" applyNumberFormat="1" applyFont="1" applyBorder="1"/>
    <xf numFmtId="168" fontId="25" fillId="0" borderId="0" xfId="0" applyNumberFormat="1" applyFont="1" applyBorder="1"/>
    <xf numFmtId="0" fontId="25" fillId="0" borderId="0" xfId="0" applyFont="1" applyBorder="1"/>
    <xf numFmtId="0" fontId="4" fillId="0" borderId="0" xfId="0" applyFont="1" applyFill="1" applyBorder="1"/>
    <xf numFmtId="3" fontId="25" fillId="0" borderId="7" xfId="0" applyNumberFormat="1" applyFont="1" applyBorder="1"/>
    <xf numFmtId="3" fontId="4" fillId="0" borderId="7" xfId="0" applyNumberFormat="1" applyFont="1" applyFill="1" applyBorder="1"/>
    <xf numFmtId="3" fontId="21" fillId="0" borderId="7" xfId="0" applyNumberFormat="1" applyFont="1" applyBorder="1"/>
    <xf numFmtId="3" fontId="23" fillId="0" borderId="10" xfId="0" applyNumberFormat="1" applyFont="1" applyBorder="1"/>
    <xf numFmtId="166" fontId="25" fillId="0" borderId="0" xfId="0" applyNumberFormat="1" applyFont="1" applyBorder="1"/>
    <xf numFmtId="0" fontId="26" fillId="0" borderId="20" xfId="0" applyFont="1" applyBorder="1"/>
    <xf numFmtId="0" fontId="26" fillId="0" borderId="21" xfId="0" applyFont="1" applyBorder="1"/>
    <xf numFmtId="166" fontId="25" fillId="0" borderId="0" xfId="2" applyNumberFormat="1" applyFont="1" applyBorder="1"/>
    <xf numFmtId="3" fontId="4" fillId="0" borderId="10" xfId="0" applyNumberFormat="1" applyFont="1" applyFill="1" applyBorder="1" applyAlignment="1">
      <alignment horizontal="center"/>
    </xf>
    <xf numFmtId="3" fontId="31" fillId="0" borderId="10" xfId="0" applyNumberFormat="1" applyFont="1" applyFill="1" applyBorder="1"/>
    <xf numFmtId="3" fontId="25" fillId="0" borderId="24" xfId="0" applyNumberFormat="1" applyFont="1" applyBorder="1"/>
    <xf numFmtId="3" fontId="4" fillId="0" borderId="24" xfId="0" applyNumberFormat="1" applyFont="1" applyFill="1" applyBorder="1"/>
    <xf numFmtId="3" fontId="21" fillId="0" borderId="24" xfId="0" applyNumberFormat="1" applyFont="1" applyBorder="1"/>
    <xf numFmtId="165" fontId="25" fillId="0" borderId="5" xfId="2" applyNumberFormat="1" applyFont="1" applyBorder="1"/>
    <xf numFmtId="165" fontId="18" fillId="0" borderId="5" xfId="2" applyNumberFormat="1" applyFont="1" applyBorder="1"/>
    <xf numFmtId="165" fontId="4" fillId="0" borderId="5" xfId="2" applyNumberFormat="1" applyFont="1" applyFill="1" applyBorder="1"/>
    <xf numFmtId="165" fontId="25" fillId="3" borderId="5" xfId="2" applyNumberFormat="1" applyFont="1" applyFill="1" applyBorder="1"/>
    <xf numFmtId="3" fontId="23" fillId="0" borderId="24" xfId="0" applyNumberFormat="1" applyFont="1" applyBorder="1"/>
    <xf numFmtId="3" fontId="31" fillId="0" borderId="24" xfId="0" applyNumberFormat="1" applyFont="1" applyFill="1" applyBorder="1"/>
    <xf numFmtId="3" fontId="31" fillId="0" borderId="10" xfId="0" applyNumberFormat="1" applyFont="1" applyBorder="1"/>
    <xf numFmtId="3" fontId="24" fillId="0" borderId="10" xfId="0" applyNumberFormat="1" applyFont="1" applyBorder="1"/>
    <xf numFmtId="3" fontId="31" fillId="0" borderId="24" xfId="0" applyNumberFormat="1" applyFont="1" applyBorder="1"/>
    <xf numFmtId="3" fontId="24" fillId="0" borderId="24" xfId="0" applyNumberFormat="1" applyFont="1" applyBorder="1"/>
    <xf numFmtId="165" fontId="21" fillId="3" borderId="5" xfId="2" applyNumberFormat="1" applyFont="1" applyFill="1" applyBorder="1"/>
    <xf numFmtId="166" fontId="0" fillId="0" borderId="0" xfId="0" applyNumberFormat="1" applyBorder="1"/>
    <xf numFmtId="0" fontId="32" fillId="0" borderId="0" xfId="0" applyFont="1" applyFill="1" applyBorder="1"/>
    <xf numFmtId="3" fontId="23" fillId="0" borderId="7" xfId="0" applyNumberFormat="1" applyFont="1" applyBorder="1"/>
    <xf numFmtId="3" fontId="21" fillId="0" borderId="0" xfId="0" applyNumberFormat="1" applyFont="1" applyBorder="1" applyAlignment="1"/>
    <xf numFmtId="3" fontId="0" fillId="0" borderId="10" xfId="0" applyNumberFormat="1" applyBorder="1"/>
    <xf numFmtId="3" fontId="12" fillId="0" borderId="10" xfId="0" applyNumberFormat="1" applyFont="1" applyBorder="1"/>
    <xf numFmtId="3" fontId="22" fillId="0" borderId="11" xfId="0" applyNumberFormat="1" applyFont="1" applyBorder="1"/>
    <xf numFmtId="164" fontId="0" fillId="0" borderId="13" xfId="0" applyNumberFormat="1" applyBorder="1"/>
    <xf numFmtId="2" fontId="0" fillId="0" borderId="13" xfId="0" applyNumberFormat="1" applyBorder="1"/>
    <xf numFmtId="2" fontId="12" fillId="0" borderId="13" xfId="0" applyNumberFormat="1" applyFont="1" applyBorder="1"/>
    <xf numFmtId="164" fontId="12" fillId="0" borderId="13" xfId="0" applyNumberFormat="1" applyFont="1" applyBorder="1"/>
    <xf numFmtId="169" fontId="22" fillId="0" borderId="14" xfId="0" applyNumberFormat="1" applyFont="1" applyBorder="1"/>
    <xf numFmtId="3" fontId="25" fillId="0" borderId="27" xfId="0" applyNumberFormat="1" applyFont="1" applyBorder="1"/>
    <xf numFmtId="3" fontId="4" fillId="0" borderId="27" xfId="0" applyNumberFormat="1" applyFont="1" applyFill="1" applyBorder="1"/>
    <xf numFmtId="3" fontId="21" fillId="0" borderId="27" xfId="0" applyNumberFormat="1" applyFont="1" applyBorder="1"/>
    <xf numFmtId="0" fontId="0" fillId="0" borderId="29" xfId="0" applyBorder="1"/>
    <xf numFmtId="0" fontId="11" fillId="0" borderId="30" xfId="0" applyFont="1" applyBorder="1" applyAlignment="1">
      <alignment horizontal="center"/>
    </xf>
    <xf numFmtId="0" fontId="11" fillId="0" borderId="30" xfId="0" applyFont="1" applyFill="1" applyBorder="1" applyAlignment="1">
      <alignment horizontal="center"/>
    </xf>
    <xf numFmtId="0" fontId="30" fillId="0" borderId="30" xfId="0" applyFont="1" applyFill="1" applyBorder="1" applyAlignment="1">
      <alignment horizontal="center"/>
    </xf>
    <xf numFmtId="0" fontId="11" fillId="3" borderId="30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3" fontId="23" fillId="0" borderId="27" xfId="0" applyNumberFormat="1" applyFont="1" applyBorder="1"/>
    <xf numFmtId="0" fontId="26" fillId="0" borderId="29" xfId="0" applyFont="1" applyBorder="1"/>
    <xf numFmtId="3" fontId="0" fillId="0" borderId="18" xfId="0" applyNumberFormat="1" applyBorder="1"/>
    <xf numFmtId="164" fontId="0" fillId="0" borderId="19" xfId="0" applyNumberFormat="1" applyBorder="1"/>
    <xf numFmtId="3" fontId="0" fillId="0" borderId="31" xfId="0" applyNumberFormat="1" applyBorder="1"/>
    <xf numFmtId="3" fontId="0" fillId="0" borderId="27" xfId="0" applyNumberFormat="1" applyBorder="1"/>
    <xf numFmtId="3" fontId="12" fillId="0" borderId="27" xfId="0" applyNumberFormat="1" applyFont="1" applyBorder="1"/>
    <xf numFmtId="3" fontId="22" fillId="0" borderId="28" xfId="0" applyNumberFormat="1" applyFont="1" applyBorder="1"/>
    <xf numFmtId="0" fontId="11" fillId="0" borderId="29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7" fillId="0" borderId="7" xfId="0" applyFont="1" applyBorder="1"/>
    <xf numFmtId="3" fontId="0" fillId="0" borderId="7" xfId="0" applyNumberFormat="1" applyBorder="1"/>
    <xf numFmtId="3" fontId="12" fillId="0" borderId="7" xfId="0" applyNumberFormat="1" applyFont="1" applyBorder="1"/>
    <xf numFmtId="3" fontId="22" fillId="0" borderId="8" xfId="0" applyNumberFormat="1" applyFont="1" applyBorder="1"/>
    <xf numFmtId="2" fontId="22" fillId="0" borderId="14" xfId="0" applyNumberFormat="1" applyFont="1" applyBorder="1"/>
    <xf numFmtId="0" fontId="11" fillId="0" borderId="32" xfId="0" applyFont="1" applyBorder="1" applyAlignment="1">
      <alignment horizontal="center"/>
    </xf>
    <xf numFmtId="3" fontId="25" fillId="0" borderId="31" xfId="0" applyNumberFormat="1" applyFont="1" applyBorder="1"/>
    <xf numFmtId="3" fontId="25" fillId="0" borderId="18" xfId="0" applyNumberFormat="1" applyFont="1" applyBorder="1"/>
    <xf numFmtId="3" fontId="25" fillId="0" borderId="25" xfId="0" applyNumberFormat="1" applyFont="1" applyBorder="1"/>
    <xf numFmtId="165" fontId="25" fillId="0" borderId="26" xfId="2" applyNumberFormat="1" applyFont="1" applyBorder="1"/>
    <xf numFmtId="0" fontId="0" fillId="0" borderId="4" xfId="0" applyBorder="1"/>
    <xf numFmtId="0" fontId="26" fillId="0" borderId="33" xfId="0" applyFont="1" applyBorder="1"/>
    <xf numFmtId="0" fontId="26" fillId="0" borderId="34" xfId="0" applyFont="1" applyBorder="1"/>
    <xf numFmtId="0" fontId="26" fillId="0" borderId="23" xfId="0" applyFont="1" applyBorder="1"/>
    <xf numFmtId="3" fontId="25" fillId="0" borderId="17" xfId="0" applyNumberFormat="1" applyFont="1" applyBorder="1"/>
    <xf numFmtId="0" fontId="0" fillId="0" borderId="21" xfId="0" applyBorder="1"/>
    <xf numFmtId="0" fontId="7" fillId="0" borderId="21" xfId="0" applyFont="1" applyBorder="1"/>
    <xf numFmtId="0" fontId="0" fillId="0" borderId="22" xfId="0" applyBorder="1"/>
    <xf numFmtId="0" fontId="0" fillId="0" borderId="33" xfId="0" applyBorder="1"/>
    <xf numFmtId="0" fontId="7" fillId="0" borderId="33" xfId="0" applyFont="1" applyBorder="1"/>
    <xf numFmtId="0" fontId="0" fillId="0" borderId="30" xfId="0" applyBorder="1"/>
    <xf numFmtId="0" fontId="0" fillId="0" borderId="15" xfId="0" applyBorder="1"/>
    <xf numFmtId="0" fontId="11" fillId="0" borderId="3" xfId="0" applyFont="1" applyBorder="1" applyAlignment="1">
      <alignment horizontal="center"/>
    </xf>
    <xf numFmtId="3" fontId="0" fillId="0" borderId="17" xfId="0" applyNumberFormat="1" applyBorder="1"/>
    <xf numFmtId="2" fontId="0" fillId="0" borderId="19" xfId="0" applyNumberFormat="1" applyBorder="1"/>
    <xf numFmtId="0" fontId="0" fillId="0" borderId="16" xfId="0" applyBorder="1"/>
    <xf numFmtId="0" fontId="0" fillId="0" borderId="36" xfId="0" applyBorder="1"/>
    <xf numFmtId="0" fontId="0" fillId="0" borderId="20" xfId="0" applyBorder="1"/>
    <xf numFmtId="0" fontId="7" fillId="0" borderId="20" xfId="0" applyFont="1" applyBorder="1"/>
    <xf numFmtId="0" fontId="26" fillId="0" borderId="35" xfId="0" applyFont="1" applyBorder="1"/>
    <xf numFmtId="0" fontId="26" fillId="0" borderId="37" xfId="0" applyFont="1" applyBorder="1"/>
    <xf numFmtId="0" fontId="26" fillId="0" borderId="38" xfId="0" applyFont="1" applyBorder="1"/>
    <xf numFmtId="0" fontId="26" fillId="0" borderId="38" xfId="0" applyFont="1" applyFill="1" applyBorder="1"/>
    <xf numFmtId="0" fontId="26" fillId="0" borderId="30" xfId="0" applyFont="1" applyBorder="1"/>
    <xf numFmtId="3" fontId="25" fillId="0" borderId="30" xfId="0" applyNumberFormat="1" applyFont="1" applyBorder="1"/>
    <xf numFmtId="3" fontId="31" fillId="0" borderId="30" xfId="0" applyNumberFormat="1" applyFont="1" applyFill="1" applyBorder="1"/>
    <xf numFmtId="3" fontId="24" fillId="3" borderId="30" xfId="0" applyNumberFormat="1" applyFont="1" applyFill="1" applyBorder="1"/>
    <xf numFmtId="0" fontId="0" fillId="0" borderId="38" xfId="0" applyBorder="1"/>
    <xf numFmtId="0" fontId="0" fillId="0" borderId="35" xfId="0" applyBorder="1"/>
    <xf numFmtId="0" fontId="0" fillId="0" borderId="34" xfId="0" applyBorder="1"/>
    <xf numFmtId="0" fontId="0" fillId="0" borderId="39" xfId="0" applyBorder="1"/>
    <xf numFmtId="0" fontId="0" fillId="0" borderId="40" xfId="0" applyBorder="1"/>
    <xf numFmtId="164" fontId="0" fillId="0" borderId="41" xfId="0" applyNumberFormat="1" applyBorder="1"/>
    <xf numFmtId="164" fontId="0" fillId="0" borderId="42" xfId="0" applyNumberFormat="1" applyBorder="1"/>
    <xf numFmtId="2" fontId="0" fillId="0" borderId="42" xfId="0" applyNumberFormat="1" applyBorder="1"/>
    <xf numFmtId="2" fontId="12" fillId="0" borderId="42" xfId="0" applyNumberFormat="1" applyFont="1" applyBorder="1"/>
    <xf numFmtId="164" fontId="12" fillId="0" borderId="42" xfId="0" applyNumberFormat="1" applyFont="1" applyBorder="1"/>
    <xf numFmtId="169" fontId="22" fillId="0" borderId="43" xfId="0" applyNumberFormat="1" applyFont="1" applyBorder="1"/>
    <xf numFmtId="0" fontId="7" fillId="0" borderId="44" xfId="0" applyFont="1" applyBorder="1"/>
    <xf numFmtId="0" fontId="0" fillId="0" borderId="44" xfId="0" applyBorder="1"/>
    <xf numFmtId="3" fontId="0" fillId="0" borderId="45" xfId="0" applyNumberFormat="1" applyBorder="1"/>
    <xf numFmtId="3" fontId="0" fillId="0" borderId="46" xfId="0" applyNumberFormat="1" applyBorder="1"/>
    <xf numFmtId="3" fontId="12" fillId="0" borderId="46" xfId="0" applyNumberFormat="1" applyFont="1" applyBorder="1"/>
    <xf numFmtId="3" fontId="22" fillId="0" borderId="47" xfId="0" applyNumberFormat="1" applyFont="1" applyBorder="1"/>
    <xf numFmtId="0" fontId="0" fillId="0" borderId="37" xfId="0" applyBorder="1"/>
    <xf numFmtId="2" fontId="0" fillId="0" borderId="41" xfId="0" applyNumberFormat="1" applyBorder="1"/>
    <xf numFmtId="2" fontId="22" fillId="0" borderId="43" xfId="0" applyNumberFormat="1" applyFont="1" applyBorder="1"/>
    <xf numFmtId="0" fontId="7" fillId="0" borderId="6" xfId="0" applyFont="1" applyBorder="1"/>
    <xf numFmtId="3" fontId="7" fillId="0" borderId="10" xfId="0" applyNumberFormat="1" applyFont="1" applyBorder="1"/>
    <xf numFmtId="3" fontId="7" fillId="0" borderId="10" xfId="0" applyNumberFormat="1" applyFont="1" applyFill="1" applyBorder="1"/>
    <xf numFmtId="3" fontId="16" fillId="0" borderId="10" xfId="0" applyNumberFormat="1" applyFont="1" applyFill="1" applyBorder="1" applyAlignment="1">
      <alignment horizontal="right"/>
    </xf>
    <xf numFmtId="3" fontId="7" fillId="0" borderId="10" xfId="0" applyNumberFormat="1" applyFont="1" applyFill="1" applyBorder="1" applyAlignment="1">
      <alignment horizontal="right"/>
    </xf>
    <xf numFmtId="3" fontId="7" fillId="5" borderId="10" xfId="0" applyNumberFormat="1" applyFont="1" applyFill="1" applyBorder="1" applyAlignment="1">
      <alignment horizontal="right"/>
    </xf>
    <xf numFmtId="2" fontId="7" fillId="2" borderId="13" xfId="0" applyNumberFormat="1" applyFont="1" applyFill="1" applyBorder="1" applyAlignment="1">
      <alignment horizontal="center"/>
    </xf>
    <xf numFmtId="2" fontId="7" fillId="2" borderId="13" xfId="0" applyNumberFormat="1" applyFont="1" applyFill="1" applyBorder="1" applyAlignment="1">
      <alignment horizontal="right"/>
    </xf>
    <xf numFmtId="3" fontId="7" fillId="0" borderId="7" xfId="0" applyNumberFormat="1" applyFont="1" applyBorder="1"/>
    <xf numFmtId="3" fontId="7" fillId="0" borderId="7" xfId="0" applyNumberFormat="1" applyFont="1" applyFill="1" applyBorder="1"/>
    <xf numFmtId="3" fontId="16" fillId="0" borderId="7" xfId="0" applyNumberFormat="1" applyFont="1" applyFill="1" applyBorder="1" applyAlignment="1">
      <alignment horizontal="right"/>
    </xf>
    <xf numFmtId="3" fontId="7" fillId="0" borderId="7" xfId="0" applyNumberFormat="1" applyFont="1" applyFill="1" applyBorder="1" applyAlignment="1">
      <alignment horizontal="right"/>
    </xf>
    <xf numFmtId="3" fontId="7" fillId="5" borderId="7" xfId="0" applyNumberFormat="1" applyFont="1" applyFill="1" applyBorder="1" applyAlignment="1">
      <alignment horizontal="right"/>
    </xf>
    <xf numFmtId="0" fontId="7" fillId="0" borderId="9" xfId="0" applyFont="1" applyBorder="1"/>
    <xf numFmtId="0" fontId="7" fillId="0" borderId="12" xfId="0" applyFont="1" applyBorder="1"/>
    <xf numFmtId="3" fontId="7" fillId="0" borderId="13" xfId="0" applyNumberFormat="1" applyFont="1" applyFill="1" applyBorder="1"/>
    <xf numFmtId="3" fontId="7" fillId="0" borderId="13" xfId="0" applyNumberFormat="1" applyFont="1" applyFill="1" applyBorder="1" applyAlignment="1">
      <alignment horizontal="right"/>
    </xf>
    <xf numFmtId="3" fontId="7" fillId="5" borderId="13" xfId="0" applyNumberFormat="1" applyFont="1" applyFill="1" applyBorder="1" applyAlignment="1">
      <alignment horizontal="right"/>
    </xf>
    <xf numFmtId="3" fontId="7" fillId="0" borderId="27" xfId="0" applyNumberFormat="1" applyFont="1" applyBorder="1"/>
    <xf numFmtId="3" fontId="7" fillId="0" borderId="27" xfId="0" applyNumberFormat="1" applyFont="1" applyFill="1" applyBorder="1"/>
    <xf numFmtId="3" fontId="16" fillId="0" borderId="27" xfId="0" applyNumberFormat="1" applyFont="1" applyFill="1" applyBorder="1" applyAlignment="1">
      <alignment horizontal="right"/>
    </xf>
    <xf numFmtId="3" fontId="7" fillId="0" borderId="27" xfId="0" applyNumberFormat="1" applyFont="1" applyFill="1" applyBorder="1" applyAlignment="1">
      <alignment horizontal="right"/>
    </xf>
    <xf numFmtId="3" fontId="7" fillId="5" borderId="27" xfId="0" applyNumberFormat="1" applyFont="1" applyFill="1" applyBorder="1" applyAlignment="1">
      <alignment horizontal="right"/>
    </xf>
    <xf numFmtId="0" fontId="8" fillId="0" borderId="30" xfId="0" applyFont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29" fillId="0" borderId="30" xfId="0" applyFont="1" applyFill="1" applyBorder="1" applyAlignment="1">
      <alignment horizontal="center"/>
    </xf>
    <xf numFmtId="0" fontId="17" fillId="5" borderId="30" xfId="0" applyFont="1" applyFill="1" applyBorder="1" applyAlignment="1">
      <alignment horizontal="center"/>
    </xf>
    <xf numFmtId="0" fontId="7" fillId="0" borderId="17" xfId="0" applyFont="1" applyBorder="1"/>
    <xf numFmtId="0" fontId="8" fillId="0" borderId="32" xfId="0" applyFont="1" applyBorder="1" applyAlignment="1">
      <alignment horizontal="center"/>
    </xf>
    <xf numFmtId="3" fontId="7" fillId="0" borderId="17" xfId="0" applyNumberFormat="1" applyFont="1" applyBorder="1"/>
    <xf numFmtId="3" fontId="7" fillId="0" borderId="18" xfId="0" applyNumberFormat="1" applyFont="1" applyBorder="1"/>
    <xf numFmtId="2" fontId="7" fillId="2" borderId="19" xfId="0" applyNumberFormat="1" applyFont="1" applyFill="1" applyBorder="1" applyAlignment="1">
      <alignment horizontal="center"/>
    </xf>
    <xf numFmtId="0" fontId="7" fillId="0" borderId="8" xfId="0" applyFont="1" applyBorder="1"/>
    <xf numFmtId="0" fontId="7" fillId="0" borderId="11" xfId="0" applyFont="1" applyBorder="1"/>
    <xf numFmtId="0" fontId="7" fillId="0" borderId="48" xfId="0" applyFont="1" applyBorder="1"/>
    <xf numFmtId="0" fontId="7" fillId="0" borderId="49" xfId="0" applyFont="1" applyBorder="1"/>
    <xf numFmtId="0" fontId="8" fillId="0" borderId="50" xfId="0" applyFont="1" applyBorder="1"/>
    <xf numFmtId="0" fontId="7" fillId="2" borderId="51" xfId="0" applyFont="1" applyFill="1" applyBorder="1"/>
    <xf numFmtId="0" fontId="7" fillId="0" borderId="38" xfId="0" applyFont="1" applyBorder="1"/>
    <xf numFmtId="0" fontId="7" fillId="0" borderId="54" xfId="0" applyFont="1" applyBorder="1"/>
    <xf numFmtId="0" fontId="7" fillId="0" borderId="55" xfId="0" applyFont="1" applyBorder="1"/>
    <xf numFmtId="0" fontId="7" fillId="0" borderId="56" xfId="0" applyFont="1" applyBorder="1"/>
    <xf numFmtId="0" fontId="7" fillId="0" borderId="51" xfId="0" applyFont="1" applyBorder="1"/>
    <xf numFmtId="3" fontId="7" fillId="0" borderId="19" xfId="0" applyNumberFormat="1" applyFont="1" applyFill="1" applyBorder="1"/>
    <xf numFmtId="3" fontId="16" fillId="0" borderId="13" xfId="0" applyNumberFormat="1" applyFont="1" applyFill="1" applyBorder="1" applyAlignment="1">
      <alignment horizontal="right"/>
    </xf>
    <xf numFmtId="0" fontId="8" fillId="0" borderId="32" xfId="0" applyFont="1" applyBorder="1"/>
    <xf numFmtId="3" fontId="7" fillId="0" borderId="31" xfId="0" applyNumberFormat="1" applyFont="1" applyBorder="1"/>
    <xf numFmtId="0" fontId="7" fillId="2" borderId="22" xfId="0" applyFont="1" applyFill="1" applyBorder="1"/>
    <xf numFmtId="0" fontId="7" fillId="0" borderId="14" xfId="0" applyFont="1" applyBorder="1"/>
    <xf numFmtId="0" fontId="7" fillId="2" borderId="40" xfId="0" applyFont="1" applyFill="1" applyBorder="1"/>
    <xf numFmtId="2" fontId="7" fillId="2" borderId="41" xfId="0" applyNumberFormat="1" applyFont="1" applyFill="1" applyBorder="1" applyAlignment="1">
      <alignment horizontal="center"/>
    </xf>
    <xf numFmtId="2" fontId="7" fillId="2" borderId="42" xfId="0" applyNumberFormat="1" applyFont="1" applyFill="1" applyBorder="1" applyAlignment="1">
      <alignment horizontal="center"/>
    </xf>
    <xf numFmtId="2" fontId="7" fillId="2" borderId="42" xfId="0" applyNumberFormat="1" applyFont="1" applyFill="1" applyBorder="1" applyAlignment="1">
      <alignment horizontal="right"/>
    </xf>
    <xf numFmtId="3" fontId="7" fillId="0" borderId="45" xfId="0" applyNumberFormat="1" applyFont="1" applyBorder="1"/>
    <xf numFmtId="3" fontId="7" fillId="0" borderId="46" xfId="0" applyNumberFormat="1" applyFont="1" applyBorder="1"/>
    <xf numFmtId="3" fontId="7" fillId="0" borderId="46" xfId="0" applyNumberFormat="1" applyFont="1" applyFill="1" applyBorder="1"/>
    <xf numFmtId="3" fontId="16" fillId="0" borderId="46" xfId="0" applyNumberFormat="1" applyFont="1" applyFill="1" applyBorder="1" applyAlignment="1">
      <alignment horizontal="right"/>
    </xf>
    <xf numFmtId="3" fontId="7" fillId="0" borderId="46" xfId="0" applyNumberFormat="1" applyFont="1" applyFill="1" applyBorder="1" applyAlignment="1">
      <alignment horizontal="right"/>
    </xf>
    <xf numFmtId="3" fontId="7" fillId="5" borderId="46" xfId="0" applyNumberFormat="1" applyFont="1" applyFill="1" applyBorder="1" applyAlignment="1">
      <alignment horizontal="right"/>
    </xf>
    <xf numFmtId="0" fontId="7" fillId="0" borderId="57" xfId="0" applyFont="1" applyBorder="1"/>
    <xf numFmtId="0" fontId="26" fillId="7" borderId="21" xfId="0" applyFont="1" applyFill="1" applyBorder="1"/>
    <xf numFmtId="3" fontId="25" fillId="7" borderId="18" xfId="0" applyNumberFormat="1" applyFont="1" applyFill="1" applyBorder="1"/>
    <xf numFmtId="3" fontId="25" fillId="7" borderId="10" xfId="0" applyNumberFormat="1" applyFont="1" applyFill="1" applyBorder="1"/>
    <xf numFmtId="3" fontId="4" fillId="7" borderId="10" xfId="0" applyNumberFormat="1" applyFont="1" applyFill="1" applyBorder="1"/>
    <xf numFmtId="3" fontId="21" fillId="7" borderId="10" xfId="0" applyNumberFormat="1" applyFont="1" applyFill="1" applyBorder="1"/>
    <xf numFmtId="3" fontId="23" fillId="7" borderId="10" xfId="0" applyNumberFormat="1" applyFont="1" applyFill="1" applyBorder="1"/>
    <xf numFmtId="0" fontId="26" fillId="7" borderId="58" xfId="0" applyFont="1" applyFill="1" applyBorder="1"/>
    <xf numFmtId="0" fontId="0" fillId="7" borderId="58" xfId="0" applyFill="1" applyBorder="1"/>
    <xf numFmtId="1" fontId="0" fillId="7" borderId="58" xfId="0" applyNumberFormat="1" applyFill="1" applyBorder="1"/>
    <xf numFmtId="3" fontId="23" fillId="7" borderId="58" xfId="0" applyNumberFormat="1" applyFont="1" applyFill="1" applyBorder="1"/>
    <xf numFmtId="0" fontId="33" fillId="7" borderId="58" xfId="0" applyFont="1" applyFill="1" applyBorder="1"/>
    <xf numFmtId="3" fontId="33" fillId="7" borderId="58" xfId="0" applyNumberFormat="1" applyFont="1" applyFill="1" applyBorder="1"/>
    <xf numFmtId="0" fontId="11" fillId="3" borderId="59" xfId="0" applyFont="1" applyFill="1" applyBorder="1" applyAlignment="1">
      <alignment horizontal="center"/>
    </xf>
    <xf numFmtId="1" fontId="28" fillId="0" borderId="0" xfId="0" applyNumberFormat="1" applyFont="1"/>
    <xf numFmtId="0" fontId="28" fillId="0" borderId="0" xfId="0" applyFont="1"/>
    <xf numFmtId="166" fontId="28" fillId="0" borderId="0" xfId="2" applyNumberFormat="1" applyFont="1"/>
    <xf numFmtId="3" fontId="35" fillId="0" borderId="10" xfId="0" applyNumberFormat="1" applyFont="1" applyBorder="1"/>
    <xf numFmtId="3" fontId="35" fillId="0" borderId="24" xfId="0" applyNumberFormat="1" applyFont="1" applyBorder="1"/>
    <xf numFmtId="0" fontId="28" fillId="0" borderId="0" xfId="0" applyFont="1" applyBorder="1"/>
    <xf numFmtId="3" fontId="35" fillId="7" borderId="58" xfId="0" applyNumberFormat="1" applyFont="1" applyFill="1" applyBorder="1"/>
    <xf numFmtId="0" fontId="16" fillId="0" borderId="0" xfId="0" applyFont="1"/>
    <xf numFmtId="0" fontId="34" fillId="0" borderId="30" xfId="0" applyFont="1" applyFill="1" applyBorder="1" applyAlignment="1">
      <alignment horizontal="center"/>
    </xf>
    <xf numFmtId="3" fontId="36" fillId="0" borderId="7" xfId="0" applyNumberFormat="1" applyFont="1" applyBorder="1"/>
    <xf numFmtId="3" fontId="36" fillId="0" borderId="10" xfId="0" applyNumberFormat="1" applyFont="1" applyBorder="1"/>
    <xf numFmtId="169" fontId="36" fillId="0" borderId="42" xfId="0" applyNumberFormat="1" applyFont="1" applyBorder="1"/>
    <xf numFmtId="3" fontId="36" fillId="0" borderId="46" xfId="0" applyNumberFormat="1" applyFont="1" applyBorder="1"/>
    <xf numFmtId="3" fontId="36" fillId="0" borderId="27" xfId="0" applyNumberFormat="1" applyFont="1" applyBorder="1"/>
    <xf numFmtId="169" fontId="36" fillId="0" borderId="13" xfId="0" applyNumberFormat="1" applyFont="1" applyBorder="1"/>
    <xf numFmtId="0" fontId="34" fillId="0" borderId="2" xfId="0" applyFont="1" applyFill="1" applyBorder="1" applyAlignment="1">
      <alignment horizontal="center"/>
    </xf>
    <xf numFmtId="2" fontId="36" fillId="0" borderId="42" xfId="0" applyNumberFormat="1" applyFont="1" applyBorder="1"/>
    <xf numFmtId="2" fontId="36" fillId="0" borderId="13" xfId="0" applyNumberFormat="1" applyFont="1" applyBorder="1"/>
    <xf numFmtId="165" fontId="25" fillId="0" borderId="5" xfId="2" applyNumberFormat="1" applyFont="1" applyFill="1" applyBorder="1"/>
    <xf numFmtId="3" fontId="35" fillId="0" borderId="30" xfId="0" applyNumberFormat="1" applyFont="1" applyFill="1" applyBorder="1"/>
    <xf numFmtId="3" fontId="36" fillId="0" borderId="7" xfId="0" applyNumberFormat="1" applyFont="1" applyFill="1" applyBorder="1"/>
    <xf numFmtId="3" fontId="36" fillId="0" borderId="10" xfId="0" applyNumberFormat="1" applyFont="1" applyFill="1" applyBorder="1"/>
    <xf numFmtId="169" fontId="36" fillId="0" borderId="42" xfId="0" applyNumberFormat="1" applyFont="1" applyFill="1" applyBorder="1"/>
    <xf numFmtId="3" fontId="36" fillId="0" borderId="46" xfId="0" applyNumberFormat="1" applyFont="1" applyFill="1" applyBorder="1"/>
    <xf numFmtId="3" fontId="36" fillId="0" borderId="27" xfId="0" applyNumberFormat="1" applyFont="1" applyFill="1" applyBorder="1"/>
    <xf numFmtId="169" fontId="36" fillId="0" borderId="13" xfId="0" applyNumberFormat="1" applyFont="1" applyFill="1" applyBorder="1"/>
    <xf numFmtId="2" fontId="36" fillId="0" borderId="42" xfId="0" applyNumberFormat="1" applyFont="1" applyFill="1" applyBorder="1"/>
    <xf numFmtId="2" fontId="36" fillId="0" borderId="13" xfId="0" applyNumberFormat="1" applyFont="1" applyFill="1" applyBorder="1"/>
    <xf numFmtId="0" fontId="33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4" fontId="36" fillId="0" borderId="0" xfId="0" applyNumberFormat="1" applyFont="1" applyFill="1" applyBorder="1"/>
    <xf numFmtId="4" fontId="25" fillId="0" borderId="0" xfId="0" applyNumberFormat="1" applyFont="1" applyFill="1"/>
    <xf numFmtId="0" fontId="8" fillId="0" borderId="0" xfId="0" applyFont="1" applyAlignment="1">
      <alignment horizontal="center"/>
    </xf>
    <xf numFmtId="3" fontId="7" fillId="0" borderId="58" xfId="0" applyNumberFormat="1" applyFont="1" applyFill="1" applyBorder="1"/>
    <xf numFmtId="0" fontId="8" fillId="0" borderId="58" xfId="0" applyFont="1" applyFill="1" applyBorder="1" applyAlignment="1">
      <alignment horizontal="center"/>
    </xf>
    <xf numFmtId="0" fontId="8" fillId="0" borderId="0" xfId="0" applyFont="1"/>
    <xf numFmtId="0" fontId="7" fillId="0" borderId="58" xfId="0" applyFont="1" applyBorder="1"/>
    <xf numFmtId="3" fontId="22" fillId="0" borderId="60" xfId="0" applyNumberFormat="1" applyFont="1" applyBorder="1"/>
    <xf numFmtId="3" fontId="22" fillId="0" borderId="61" xfId="0" applyNumberFormat="1" applyFont="1" applyBorder="1"/>
    <xf numFmtId="169" fontId="22" fillId="0" borderId="62" xfId="0" applyNumberFormat="1" applyFont="1" applyBorder="1"/>
    <xf numFmtId="3" fontId="22" fillId="0" borderId="63" xfId="0" applyNumberFormat="1" applyFont="1" applyBorder="1"/>
    <xf numFmtId="3" fontId="22" fillId="0" borderId="64" xfId="0" applyNumberFormat="1" applyFont="1" applyBorder="1"/>
    <xf numFmtId="169" fontId="22" fillId="0" borderId="65" xfId="0" applyNumberFormat="1" applyFont="1" applyBorder="1"/>
    <xf numFmtId="2" fontId="22" fillId="0" borderId="62" xfId="0" applyNumberFormat="1" applyFont="1" applyBorder="1"/>
    <xf numFmtId="2" fontId="22" fillId="0" borderId="65" xfId="0" applyNumberFormat="1" applyFont="1" applyBorder="1"/>
    <xf numFmtId="0" fontId="11" fillId="3" borderId="68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3" fontId="3" fillId="0" borderId="27" xfId="0" applyNumberFormat="1" applyFont="1" applyBorder="1"/>
    <xf numFmtId="3" fontId="3" fillId="7" borderId="10" xfId="0" applyNumberFormat="1" applyFont="1" applyFill="1" applyBorder="1"/>
    <xf numFmtId="3" fontId="3" fillId="0" borderId="10" xfId="0" applyNumberFormat="1" applyFont="1" applyBorder="1"/>
    <xf numFmtId="3" fontId="3" fillId="0" borderId="24" xfId="0" applyNumberFormat="1" applyFont="1" applyBorder="1"/>
    <xf numFmtId="165" fontId="3" fillId="0" borderId="5" xfId="2" applyNumberFormat="1" applyFont="1" applyFill="1" applyBorder="1"/>
    <xf numFmtId="0" fontId="3" fillId="0" borderId="0" xfId="0" applyFont="1" applyBorder="1"/>
    <xf numFmtId="3" fontId="3" fillId="0" borderId="7" xfId="0" applyNumberFormat="1" applyFont="1" applyBorder="1"/>
    <xf numFmtId="166" fontId="3" fillId="0" borderId="0" xfId="0" applyNumberFormat="1" applyFont="1" applyBorder="1"/>
    <xf numFmtId="0" fontId="3" fillId="0" borderId="0" xfId="0" applyFont="1"/>
    <xf numFmtId="0" fontId="32" fillId="0" borderId="0" xfId="0" applyFont="1" applyBorder="1"/>
    <xf numFmtId="0" fontId="32" fillId="0" borderId="0" xfId="0" applyFont="1"/>
    <xf numFmtId="3" fontId="31" fillId="7" borderId="58" xfId="0" applyNumberFormat="1" applyFont="1" applyFill="1" applyBorder="1"/>
    <xf numFmtId="3" fontId="37" fillId="7" borderId="58" xfId="0" applyNumberFormat="1" applyFont="1" applyFill="1" applyBorder="1"/>
    <xf numFmtId="3" fontId="38" fillId="0" borderId="7" xfId="0" applyNumberFormat="1" applyFont="1" applyBorder="1"/>
    <xf numFmtId="3" fontId="38" fillId="0" borderId="10" xfId="0" applyNumberFormat="1" applyFont="1" applyBorder="1"/>
    <xf numFmtId="169" fontId="38" fillId="0" borderId="42" xfId="0" applyNumberFormat="1" applyFont="1" applyBorder="1"/>
    <xf numFmtId="3" fontId="38" fillId="0" borderId="46" xfId="0" applyNumberFormat="1" applyFont="1" applyBorder="1"/>
    <xf numFmtId="3" fontId="38" fillId="0" borderId="27" xfId="0" applyNumberFormat="1" applyFont="1" applyBorder="1"/>
    <xf numFmtId="169" fontId="38" fillId="0" borderId="13" xfId="0" applyNumberFormat="1" applyFont="1" applyBorder="1"/>
    <xf numFmtId="2" fontId="38" fillId="0" borderId="42" xfId="0" applyNumberFormat="1" applyFont="1" applyBorder="1"/>
    <xf numFmtId="2" fontId="38" fillId="0" borderId="13" xfId="0" applyNumberFormat="1" applyFont="1" applyBorder="1"/>
    <xf numFmtId="3" fontId="25" fillId="0" borderId="0" xfId="0" applyNumberFormat="1" applyFont="1"/>
    <xf numFmtId="170" fontId="35" fillId="0" borderId="0" xfId="0" applyNumberFormat="1" applyFont="1" applyFill="1" applyBorder="1"/>
    <xf numFmtId="170" fontId="0" fillId="0" borderId="0" xfId="0" applyNumberFormat="1"/>
    <xf numFmtId="0" fontId="39" fillId="0" borderId="0" xfId="0" applyFont="1" applyFill="1"/>
    <xf numFmtId="3" fontId="7" fillId="0" borderId="0" xfId="0" applyNumberFormat="1" applyFont="1" applyFill="1" applyBorder="1"/>
    <xf numFmtId="3" fontId="16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40" fillId="8" borderId="0" xfId="0" applyFont="1" applyFill="1"/>
    <xf numFmtId="0" fontId="7" fillId="8" borderId="0" xfId="0" applyFont="1" applyFill="1"/>
    <xf numFmtId="0" fontId="7" fillId="8" borderId="0" xfId="0" applyFont="1" applyFill="1" applyBorder="1"/>
    <xf numFmtId="0" fontId="41" fillId="8" borderId="0" xfId="0" applyFont="1" applyFill="1" applyBorder="1"/>
    <xf numFmtId="0" fontId="7" fillId="0" borderId="0" xfId="0" applyFont="1" applyFill="1" applyBorder="1"/>
    <xf numFmtId="3" fontId="7" fillId="8" borderId="0" xfId="0" applyNumberFormat="1" applyFont="1" applyFill="1" applyBorder="1"/>
    <xf numFmtId="3" fontId="16" fillId="8" borderId="0" xfId="0" applyNumberFormat="1" applyFont="1" applyFill="1" applyBorder="1" applyAlignment="1">
      <alignment horizontal="right"/>
    </xf>
    <xf numFmtId="3" fontId="7" fillId="8" borderId="0" xfId="0" applyNumberFormat="1" applyFont="1" applyFill="1" applyBorder="1" applyAlignment="1">
      <alignment horizontal="right"/>
    </xf>
    <xf numFmtId="1" fontId="42" fillId="0" borderId="0" xfId="0" applyNumberFormat="1" applyFont="1"/>
    <xf numFmtId="0" fontId="8" fillId="0" borderId="58" xfId="0" applyFont="1" applyBorder="1"/>
    <xf numFmtId="3" fontId="8" fillId="0" borderId="0" xfId="0" applyNumberFormat="1" applyFont="1"/>
    <xf numFmtId="0" fontId="8" fillId="0" borderId="0" xfId="0" applyFont="1" applyFill="1"/>
    <xf numFmtId="3" fontId="8" fillId="0" borderId="0" xfId="0" applyNumberFormat="1" applyFont="1" applyFill="1"/>
    <xf numFmtId="3" fontId="8" fillId="0" borderId="58" xfId="0" applyNumberFormat="1" applyFont="1" applyFill="1" applyBorder="1"/>
    <xf numFmtId="0" fontId="11" fillId="9" borderId="30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3" fontId="38" fillId="0" borderId="7" xfId="0" applyNumberFormat="1" applyFont="1" applyFill="1" applyBorder="1"/>
    <xf numFmtId="3" fontId="38" fillId="0" borderId="10" xfId="0" applyNumberFormat="1" applyFont="1" applyFill="1" applyBorder="1"/>
    <xf numFmtId="169" fontId="38" fillId="0" borderId="42" xfId="0" applyNumberFormat="1" applyFont="1" applyFill="1" applyBorder="1"/>
    <xf numFmtId="3" fontId="38" fillId="0" borderId="46" xfId="0" applyNumberFormat="1" applyFont="1" applyFill="1" applyBorder="1"/>
    <xf numFmtId="3" fontId="38" fillId="0" borderId="27" xfId="0" applyNumberFormat="1" applyFont="1" applyFill="1" applyBorder="1"/>
    <xf numFmtId="169" fontId="38" fillId="0" borderId="13" xfId="0" applyNumberFormat="1" applyFont="1" applyFill="1" applyBorder="1"/>
    <xf numFmtId="2" fontId="38" fillId="0" borderId="42" xfId="0" applyNumberFormat="1" applyFont="1" applyFill="1" applyBorder="1"/>
    <xf numFmtId="2" fontId="38" fillId="0" borderId="13" xfId="0" applyNumberFormat="1" applyFont="1" applyFill="1" applyBorder="1"/>
    <xf numFmtId="3" fontId="2" fillId="0" borderId="27" xfId="0" applyNumberFormat="1" applyFont="1" applyBorder="1"/>
    <xf numFmtId="3" fontId="2" fillId="7" borderId="10" xfId="0" applyNumberFormat="1" applyFont="1" applyFill="1" applyBorder="1"/>
    <xf numFmtId="3" fontId="2" fillId="0" borderId="10" xfId="0" applyNumberFormat="1" applyFont="1" applyBorder="1"/>
    <xf numFmtId="3" fontId="2" fillId="0" borderId="24" xfId="0" applyNumberFormat="1" applyFont="1" applyBorder="1"/>
    <xf numFmtId="165" fontId="2" fillId="9" borderId="5" xfId="2" applyNumberFormat="1" applyFont="1" applyFill="1" applyBorder="1"/>
    <xf numFmtId="0" fontId="2" fillId="0" borderId="0" xfId="0" applyFont="1" applyBorder="1"/>
    <xf numFmtId="3" fontId="2" fillId="0" borderId="7" xfId="0" applyNumberFormat="1" applyFont="1" applyBorder="1"/>
    <xf numFmtId="166" fontId="2" fillId="0" borderId="0" xfId="0" applyNumberFormat="1" applyFont="1" applyBorder="1"/>
    <xf numFmtId="165" fontId="2" fillId="0" borderId="5" xfId="2" applyNumberFormat="1" applyFont="1" applyFill="1" applyBorder="1"/>
    <xf numFmtId="0" fontId="2" fillId="0" borderId="0" xfId="0" applyFont="1"/>
    <xf numFmtId="3" fontId="31" fillId="9" borderId="30" xfId="0" applyNumberFormat="1" applyFont="1" applyFill="1" applyBorder="1"/>
    <xf numFmtId="166" fontId="32" fillId="0" borderId="0" xfId="2" applyNumberFormat="1" applyFont="1"/>
    <xf numFmtId="0" fontId="30" fillId="9" borderId="30" xfId="0" applyFont="1" applyFill="1" applyBorder="1" applyAlignment="1">
      <alignment horizontal="center"/>
    </xf>
    <xf numFmtId="3" fontId="7" fillId="0" borderId="69" xfId="0" applyNumberFormat="1" applyFont="1" applyBorder="1" applyAlignment="1"/>
    <xf numFmtId="3" fontId="7" fillId="0" borderId="0" xfId="0" applyNumberFormat="1" applyFont="1" applyBorder="1" applyAlignment="1"/>
    <xf numFmtId="0" fontId="30" fillId="0" borderId="59" xfId="0" applyFont="1" applyFill="1" applyBorder="1" applyAlignment="1">
      <alignment horizontal="center"/>
    </xf>
    <xf numFmtId="3" fontId="1" fillId="0" borderId="64" xfId="0" applyNumberFormat="1" applyFont="1" applyBorder="1"/>
    <xf numFmtId="3" fontId="1" fillId="7" borderId="61" xfId="0" applyNumberFormat="1" applyFont="1" applyFill="1" applyBorder="1"/>
    <xf numFmtId="3" fontId="1" fillId="0" borderId="61" xfId="0" applyNumberFormat="1" applyFont="1" applyBorder="1"/>
    <xf numFmtId="3" fontId="1" fillId="0" borderId="66" xfId="0" applyNumberFormat="1" applyFont="1" applyBorder="1"/>
    <xf numFmtId="165" fontId="1" fillId="0" borderId="67" xfId="2" applyNumberFormat="1" applyFont="1" applyFill="1" applyBorder="1"/>
    <xf numFmtId="0" fontId="1" fillId="0" borderId="0" xfId="0" applyFont="1" applyBorder="1"/>
    <xf numFmtId="3" fontId="1" fillId="0" borderId="60" xfId="0" applyNumberFormat="1" applyFont="1" applyBorder="1"/>
    <xf numFmtId="166" fontId="1" fillId="0" borderId="0" xfId="0" applyNumberFormat="1" applyFont="1" applyBorder="1"/>
    <xf numFmtId="0" fontId="1" fillId="0" borderId="0" xfId="0" applyFont="1" applyFill="1"/>
    <xf numFmtId="3" fontId="31" fillId="0" borderId="59" xfId="0" applyNumberFormat="1" applyFont="1" applyFill="1" applyBorder="1"/>
    <xf numFmtId="3" fontId="31" fillId="0" borderId="61" xfId="0" applyNumberFormat="1" applyFont="1" applyBorder="1"/>
    <xf numFmtId="3" fontId="31" fillId="0" borderId="66" xfId="0" applyNumberFormat="1" applyFont="1" applyBorder="1"/>
    <xf numFmtId="0" fontId="43" fillId="0" borderId="0" xfId="0" applyFont="1" applyBorder="1"/>
    <xf numFmtId="3" fontId="1" fillId="7" borderId="10" xfId="0" applyNumberFormat="1" applyFont="1" applyFill="1" applyBorder="1"/>
    <xf numFmtId="0" fontId="43" fillId="0" borderId="0" xfId="0" applyFont="1"/>
    <xf numFmtId="3" fontId="38" fillId="9" borderId="7" xfId="0" applyNumberFormat="1" applyFont="1" applyFill="1" applyBorder="1"/>
    <xf numFmtId="3" fontId="38" fillId="9" borderId="10" xfId="0" applyNumberFormat="1" applyFont="1" applyFill="1" applyBorder="1"/>
    <xf numFmtId="2" fontId="38" fillId="9" borderId="42" xfId="0" applyNumberFormat="1" applyFont="1" applyFill="1" applyBorder="1"/>
    <xf numFmtId="3" fontId="38" fillId="9" borderId="46" xfId="0" applyNumberFormat="1" applyFont="1" applyFill="1" applyBorder="1"/>
    <xf numFmtId="3" fontId="38" fillId="9" borderId="27" xfId="0" applyNumberFormat="1" applyFont="1" applyFill="1" applyBorder="1"/>
    <xf numFmtId="2" fontId="38" fillId="9" borderId="13" xfId="0" applyNumberFormat="1" applyFont="1" applyFill="1" applyBorder="1"/>
    <xf numFmtId="171" fontId="0" fillId="0" borderId="0" xfId="0" applyNumberFormat="1"/>
    <xf numFmtId="0" fontId="17" fillId="5" borderId="70" xfId="0" applyFont="1" applyFill="1" applyBorder="1" applyAlignment="1">
      <alignment horizontal="center"/>
    </xf>
    <xf numFmtId="3" fontId="7" fillId="5" borderId="71" xfId="0" applyNumberFormat="1" applyFont="1" applyFill="1" applyBorder="1" applyAlignment="1">
      <alignment horizontal="right"/>
    </xf>
    <xf numFmtId="3" fontId="7" fillId="5" borderId="72" xfId="0" applyNumberFormat="1" applyFont="1" applyFill="1" applyBorder="1" applyAlignment="1">
      <alignment horizontal="right"/>
    </xf>
    <xf numFmtId="2" fontId="7" fillId="2" borderId="73" xfId="0" applyNumberFormat="1" applyFont="1" applyFill="1" applyBorder="1" applyAlignment="1">
      <alignment horizontal="right"/>
    </xf>
    <xf numFmtId="3" fontId="7" fillId="5" borderId="74" xfId="0" applyNumberFormat="1" applyFont="1" applyFill="1" applyBorder="1" applyAlignment="1">
      <alignment horizontal="right"/>
    </xf>
    <xf numFmtId="3" fontId="7" fillId="5" borderId="75" xfId="0" applyNumberFormat="1" applyFont="1" applyFill="1" applyBorder="1" applyAlignment="1">
      <alignment horizontal="right"/>
    </xf>
    <xf numFmtId="2" fontId="7" fillId="2" borderId="76" xfId="0" applyNumberFormat="1" applyFont="1" applyFill="1" applyBorder="1" applyAlignment="1">
      <alignment horizontal="right"/>
    </xf>
    <xf numFmtId="3" fontId="7" fillId="5" borderId="76" xfId="0" applyNumberFormat="1" applyFont="1" applyFill="1" applyBorder="1" applyAlignment="1">
      <alignment horizontal="right"/>
    </xf>
    <xf numFmtId="0" fontId="17" fillId="5" borderId="15" xfId="0" applyFont="1" applyFill="1" applyBorder="1" applyAlignment="1">
      <alignment horizontal="center"/>
    </xf>
    <xf numFmtId="3" fontId="7" fillId="5" borderId="8" xfId="0" applyNumberFormat="1" applyFont="1" applyFill="1" applyBorder="1" applyAlignment="1">
      <alignment horizontal="right"/>
    </xf>
    <xf numFmtId="3" fontId="7" fillId="5" borderId="11" xfId="0" applyNumberFormat="1" applyFont="1" applyFill="1" applyBorder="1" applyAlignment="1">
      <alignment horizontal="right"/>
    </xf>
    <xf numFmtId="2" fontId="7" fillId="2" borderId="43" xfId="0" applyNumberFormat="1" applyFont="1" applyFill="1" applyBorder="1" applyAlignment="1">
      <alignment horizontal="right"/>
    </xf>
    <xf numFmtId="3" fontId="7" fillId="5" borderId="47" xfId="0" applyNumberFormat="1" applyFont="1" applyFill="1" applyBorder="1" applyAlignment="1">
      <alignment horizontal="right"/>
    </xf>
    <xf numFmtId="3" fontId="7" fillId="5" borderId="28" xfId="0" applyNumberFormat="1" applyFont="1" applyFill="1" applyBorder="1" applyAlignment="1">
      <alignment horizontal="right"/>
    </xf>
    <xf numFmtId="2" fontId="7" fillId="2" borderId="14" xfId="0" applyNumberFormat="1" applyFont="1" applyFill="1" applyBorder="1" applyAlignment="1">
      <alignment horizontal="right"/>
    </xf>
    <xf numFmtId="3" fontId="7" fillId="5" borderId="14" xfId="0" applyNumberFormat="1" applyFont="1" applyFill="1" applyBorder="1" applyAlignment="1">
      <alignment horizontal="right"/>
    </xf>
    <xf numFmtId="0" fontId="8" fillId="4" borderId="35" xfId="0" applyFont="1" applyFill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40" xfId="0" applyFont="1" applyFill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</cellXfs>
  <cellStyles count="5">
    <cellStyle name="Normálna" xfId="0" builtinId="0"/>
    <cellStyle name="Normálna 2" xfId="1"/>
    <cellStyle name="Normálna 3" xfId="3"/>
    <cellStyle name="Normálna 3 2" xfId="4"/>
    <cellStyle name="Percentá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4F488"/>
      <color rgb="FFEDE4A5"/>
      <color rgb="FFEDF39F"/>
      <color rgb="FFF4EA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3"/>
  <sheetViews>
    <sheetView showGridLines="0" tabSelected="1" zoomScaleNormal="100" workbookViewId="0"/>
  </sheetViews>
  <sheetFormatPr defaultColWidth="9.140625" defaultRowHeight="15" x14ac:dyDescent="0.25"/>
  <cols>
    <col min="1" max="1" width="2" style="2" customWidth="1"/>
    <col min="2" max="2" width="10.85546875" style="2" customWidth="1"/>
    <col min="3" max="3" width="23.5703125" style="2" customWidth="1"/>
    <col min="4" max="16" width="7.7109375" style="2" hidden="1" customWidth="1"/>
    <col min="17" max="17" width="8.28515625" style="2" hidden="1" customWidth="1"/>
    <col min="18" max="19" width="7.7109375" style="2" hidden="1" customWidth="1"/>
    <col min="20" max="20" width="9" style="2" hidden="1" customWidth="1"/>
    <col min="21" max="21" width="8.28515625" style="2" hidden="1" customWidth="1"/>
    <col min="22" max="24" width="7.7109375" style="2" hidden="1" customWidth="1"/>
    <col min="25" max="26" width="9.140625" style="2" hidden="1" customWidth="1"/>
    <col min="27" max="29" width="9.140625" style="2"/>
    <col min="30" max="30" width="8.28515625" style="2" customWidth="1"/>
    <col min="31" max="16384" width="9.140625" style="2"/>
  </cols>
  <sheetData>
    <row r="1" spans="1:35" s="5" customFormat="1" ht="30" x14ac:dyDescent="0.4">
      <c r="A1" s="324" t="s">
        <v>62</v>
      </c>
      <c r="B1" s="322"/>
      <c r="C1" s="323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7"/>
      <c r="T1" s="327"/>
      <c r="U1" s="327"/>
      <c r="V1" s="327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2"/>
    </row>
    <row r="2" spans="1:35" s="5" customFormat="1" x14ac:dyDescent="0.25">
      <c r="B2" s="325"/>
      <c r="C2" s="325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9"/>
      <c r="T2" s="319"/>
      <c r="U2" s="319"/>
      <c r="V2" s="319"/>
      <c r="W2" s="320"/>
      <c r="X2" s="320"/>
      <c r="Y2" s="320"/>
      <c r="Z2" s="320"/>
      <c r="AA2" s="320"/>
      <c r="AB2" s="320"/>
      <c r="AC2" s="320"/>
      <c r="AD2" s="320"/>
      <c r="AE2" s="320"/>
      <c r="AF2" s="320"/>
    </row>
    <row r="3" spans="1:35" s="5" customFormat="1" ht="20.25" x14ac:dyDescent="0.3">
      <c r="B3" s="1" t="s">
        <v>0</v>
      </c>
      <c r="C3" s="1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5" s="5" customFormat="1" ht="13.9" customHeight="1" x14ac:dyDescent="0.3">
      <c r="B4" s="329" t="s">
        <v>2</v>
      </c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5" s="5" customFormat="1" ht="13.9" customHeight="1" x14ac:dyDescent="0.3">
      <c r="B5" s="329" t="s">
        <v>3</v>
      </c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5" s="5" customFormat="1" ht="13.9" customHeight="1" x14ac:dyDescent="0.3">
      <c r="B6" s="329" t="s">
        <v>4</v>
      </c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5" s="5" customFormat="1" ht="13.9" customHeight="1" x14ac:dyDescent="0.3">
      <c r="B7" s="329" t="s">
        <v>5</v>
      </c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5" s="5" customFormat="1" ht="13.9" customHeight="1" x14ac:dyDescent="0.3">
      <c r="B8" s="329" t="s">
        <v>6</v>
      </c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5" s="5" customFormat="1" ht="13.9" customHeight="1" x14ac:dyDescent="0.3">
      <c r="B9" s="329" t="s">
        <v>7</v>
      </c>
      <c r="C9" s="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5" s="5" customFormat="1" x14ac:dyDescent="0.25">
      <c r="B10" s="325"/>
      <c r="C10" s="325"/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9"/>
      <c r="T10" s="319"/>
      <c r="U10" s="319"/>
      <c r="V10" s="319"/>
      <c r="W10" s="320"/>
      <c r="X10" s="320"/>
      <c r="Y10" s="320"/>
      <c r="Z10" s="320"/>
      <c r="AA10" s="320"/>
      <c r="AB10" s="320"/>
      <c r="AC10" s="320"/>
      <c r="AD10" s="320"/>
      <c r="AE10" s="320"/>
      <c r="AF10" s="320"/>
    </row>
    <row r="11" spans="1:35" ht="15.75" thickBot="1" x14ac:dyDescent="0.3">
      <c r="P11" s="4"/>
      <c r="Q11" s="4"/>
      <c r="AC11" s="358"/>
      <c r="AD11" s="358" t="s">
        <v>32</v>
      </c>
      <c r="AE11" s="358"/>
      <c r="AF11" s="358"/>
    </row>
    <row r="12" spans="1:35" ht="15.75" thickBot="1" x14ac:dyDescent="0.3">
      <c r="B12" s="144"/>
      <c r="C12" s="218" t="s">
        <v>8</v>
      </c>
      <c r="D12" s="196">
        <v>1999</v>
      </c>
      <c r="E12" s="196">
        <v>2000</v>
      </c>
      <c r="F12" s="196">
        <v>2001</v>
      </c>
      <c r="G12" s="196">
        <v>2002</v>
      </c>
      <c r="H12" s="196">
        <v>2003</v>
      </c>
      <c r="I12" s="196">
        <v>2004</v>
      </c>
      <c r="J12" s="196">
        <v>2005</v>
      </c>
      <c r="K12" s="196">
        <v>2006</v>
      </c>
      <c r="L12" s="196">
        <v>2007</v>
      </c>
      <c r="M12" s="196">
        <v>2008</v>
      </c>
      <c r="N12" s="196">
        <v>2009</v>
      </c>
      <c r="O12" s="196">
        <v>2010</v>
      </c>
      <c r="P12" s="197">
        <v>2011</v>
      </c>
      <c r="Q12" s="197">
        <v>2012</v>
      </c>
      <c r="R12" s="197">
        <v>2013</v>
      </c>
      <c r="S12" s="197">
        <v>2014</v>
      </c>
      <c r="T12" s="197">
        <v>2015</v>
      </c>
      <c r="U12" s="197">
        <v>2016</v>
      </c>
      <c r="V12" s="197">
        <v>2017</v>
      </c>
      <c r="W12" s="197">
        <v>2018</v>
      </c>
      <c r="X12" s="198">
        <v>2019</v>
      </c>
      <c r="Y12" s="198">
        <v>2020</v>
      </c>
      <c r="Z12" s="198">
        <v>2021</v>
      </c>
      <c r="AA12" s="198">
        <v>2022</v>
      </c>
      <c r="AB12" s="198">
        <v>2023</v>
      </c>
      <c r="AC12" s="198">
        <v>2024</v>
      </c>
      <c r="AD12" s="199">
        <v>2025</v>
      </c>
      <c r="AE12" s="199">
        <v>2026</v>
      </c>
      <c r="AF12" s="383">
        <v>2027</v>
      </c>
      <c r="AG12" s="391">
        <v>2028</v>
      </c>
    </row>
    <row r="13" spans="1:35" x14ac:dyDescent="0.25">
      <c r="B13" s="405" t="s">
        <v>9</v>
      </c>
      <c r="C13" s="144" t="s">
        <v>10</v>
      </c>
      <c r="D13" s="219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2"/>
      <c r="Q13" s="192"/>
      <c r="R13" s="192"/>
      <c r="S13" s="193"/>
      <c r="T13" s="193"/>
      <c r="U13" s="193"/>
      <c r="V13" s="193"/>
      <c r="W13" s="194"/>
      <c r="X13" s="194"/>
      <c r="Y13" s="194"/>
      <c r="Z13" s="194"/>
      <c r="AA13" s="194">
        <f t="shared" ref="AA13:AB13" si="0">SUM(AA19,AA16)</f>
        <v>706572</v>
      </c>
      <c r="AB13" s="194">
        <f t="shared" si="0"/>
        <v>715726</v>
      </c>
      <c r="AC13" s="194">
        <f t="shared" ref="AC13" si="1">SUM(AC19,AC16)</f>
        <v>723484</v>
      </c>
      <c r="AD13" s="185">
        <v>730109</v>
      </c>
      <c r="AE13" s="185">
        <v>738186</v>
      </c>
      <c r="AF13" s="384">
        <v>750095</v>
      </c>
      <c r="AG13" s="392">
        <v>773020</v>
      </c>
      <c r="AH13" s="4"/>
      <c r="AI13" s="4"/>
    </row>
    <row r="14" spans="1:35" x14ac:dyDescent="0.25">
      <c r="B14" s="405"/>
      <c r="C14" s="132" t="s">
        <v>11</v>
      </c>
      <c r="D14" s="203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5"/>
      <c r="Q14" s="175"/>
      <c r="R14" s="175"/>
      <c r="S14" s="176"/>
      <c r="T14" s="176"/>
      <c r="U14" s="176"/>
      <c r="V14" s="176"/>
      <c r="W14" s="177"/>
      <c r="X14" s="177"/>
      <c r="Y14" s="177"/>
      <c r="Z14" s="177"/>
      <c r="AA14" s="177">
        <f>SUM(AA20,AA17)</f>
        <v>54060</v>
      </c>
      <c r="AB14" s="177">
        <f>SUM(AB20,AB17)</f>
        <v>54717</v>
      </c>
      <c r="AC14" s="177">
        <f>SUM(AC20,AC17)</f>
        <v>55331</v>
      </c>
      <c r="AD14" s="178">
        <v>56089</v>
      </c>
      <c r="AE14" s="178">
        <v>57368</v>
      </c>
      <c r="AF14" s="385">
        <v>58740</v>
      </c>
      <c r="AG14" s="393">
        <v>60714</v>
      </c>
    </row>
    <row r="15" spans="1:35" x14ac:dyDescent="0.25">
      <c r="B15" s="406"/>
      <c r="C15" s="222" t="s">
        <v>12</v>
      </c>
      <c r="D15" s="223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5"/>
      <c r="T15" s="225"/>
      <c r="U15" s="225"/>
      <c r="V15" s="225"/>
      <c r="W15" s="225"/>
      <c r="X15" s="225"/>
      <c r="Y15" s="225"/>
      <c r="Z15" s="225"/>
      <c r="AA15" s="225">
        <f t="shared" ref="AA15" si="2">AVERAGE(AA13/AA14)</f>
        <v>13.070144284128746</v>
      </c>
      <c r="AB15" s="225">
        <f>AVERAGE(AB13/AB14)</f>
        <v>13.080505144653399</v>
      </c>
      <c r="AC15" s="225">
        <f>AVERAGE(AC13/AC14)</f>
        <v>13.075563427373444</v>
      </c>
      <c r="AD15" s="225">
        <f t="shared" ref="AD15:AF15" si="3">AVERAGE(AD13/AD14)</f>
        <v>13.016973025013817</v>
      </c>
      <c r="AE15" s="225">
        <f t="shared" si="3"/>
        <v>12.867556826105146</v>
      </c>
      <c r="AF15" s="386">
        <f t="shared" si="3"/>
        <v>12.769748042219952</v>
      </c>
      <c r="AG15" s="394">
        <f t="shared" ref="AG15" si="4">AVERAGE(AG13/AG14)</f>
        <v>12.73215403366604</v>
      </c>
    </row>
    <row r="16" spans="1:35" x14ac:dyDescent="0.25">
      <c r="B16" s="407" t="s">
        <v>13</v>
      </c>
      <c r="C16" s="164" t="s">
        <v>10</v>
      </c>
      <c r="D16" s="226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8"/>
      <c r="Q16" s="228"/>
      <c r="R16" s="228"/>
      <c r="S16" s="229"/>
      <c r="T16" s="229"/>
      <c r="U16" s="229"/>
      <c r="V16" s="229"/>
      <c r="W16" s="230"/>
      <c r="X16" s="230"/>
      <c r="Y16" s="230"/>
      <c r="Z16" s="230"/>
      <c r="AA16" s="230">
        <v>30865</v>
      </c>
      <c r="AB16" s="230">
        <v>31043</v>
      </c>
      <c r="AC16" s="230">
        <v>31069</v>
      </c>
      <c r="AD16" s="231">
        <v>31154</v>
      </c>
      <c r="AE16" s="231">
        <v>31181</v>
      </c>
      <c r="AF16" s="387">
        <v>31502</v>
      </c>
      <c r="AG16" s="395">
        <v>32959</v>
      </c>
    </row>
    <row r="17" spans="2:39" x14ac:dyDescent="0.25">
      <c r="B17" s="408"/>
      <c r="C17" s="132" t="s">
        <v>11</v>
      </c>
      <c r="D17" s="203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5"/>
      <c r="Q17" s="175"/>
      <c r="R17" s="175"/>
      <c r="S17" s="176"/>
      <c r="T17" s="176"/>
      <c r="U17" s="176"/>
      <c r="V17" s="176"/>
      <c r="W17" s="177"/>
      <c r="X17" s="177"/>
      <c r="Y17" s="177"/>
      <c r="Z17" s="177"/>
      <c r="AA17" s="177">
        <v>3584</v>
      </c>
      <c r="AB17" s="177">
        <v>3639</v>
      </c>
      <c r="AC17" s="177">
        <v>3646</v>
      </c>
      <c r="AD17" s="178">
        <v>3672</v>
      </c>
      <c r="AE17" s="178">
        <v>3723</v>
      </c>
      <c r="AF17" s="385">
        <v>3740</v>
      </c>
      <c r="AG17" s="393">
        <v>3848</v>
      </c>
    </row>
    <row r="18" spans="2:39" x14ac:dyDescent="0.25">
      <c r="B18" s="409"/>
      <c r="C18" s="222" t="s">
        <v>12</v>
      </c>
      <c r="D18" s="223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5"/>
      <c r="T18" s="225"/>
      <c r="U18" s="225"/>
      <c r="V18" s="225"/>
      <c r="W18" s="225"/>
      <c r="X18" s="225"/>
      <c r="Y18" s="225"/>
      <c r="Z18" s="225"/>
      <c r="AA18" s="225">
        <f t="shared" ref="AA18:AF18" si="5">AVERAGE(AA16/AA17)</f>
        <v>8.6118861607142865</v>
      </c>
      <c r="AB18" s="225">
        <f t="shared" si="5"/>
        <v>8.530640285792801</v>
      </c>
      <c r="AC18" s="225">
        <f t="shared" ref="AC18" si="6">AVERAGE(AC16/AC17)</f>
        <v>8.5213933077345043</v>
      </c>
      <c r="AD18" s="225">
        <f t="shared" si="5"/>
        <v>8.4842047930283222</v>
      </c>
      <c r="AE18" s="225">
        <f t="shared" si="5"/>
        <v>8.3752350255170569</v>
      </c>
      <c r="AF18" s="386">
        <f t="shared" si="5"/>
        <v>8.4229946524064179</v>
      </c>
      <c r="AG18" s="394">
        <f t="shared" ref="AG18" si="7">AVERAGE(AG16/AG17)</f>
        <v>8.5652286902286896</v>
      </c>
    </row>
    <row r="19" spans="2:39" x14ac:dyDescent="0.25">
      <c r="B19" s="410" t="s">
        <v>14</v>
      </c>
      <c r="C19" s="135" t="s">
        <v>10</v>
      </c>
      <c r="D19" s="219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2"/>
      <c r="Q19" s="192"/>
      <c r="R19" s="192"/>
      <c r="S19" s="193"/>
      <c r="T19" s="193"/>
      <c r="U19" s="193"/>
      <c r="V19" s="193"/>
      <c r="W19" s="194"/>
      <c r="X19" s="194"/>
      <c r="Y19" s="194"/>
      <c r="Z19" s="194"/>
      <c r="AA19" s="194">
        <v>675707</v>
      </c>
      <c r="AB19" s="194">
        <v>684683</v>
      </c>
      <c r="AC19" s="194">
        <v>692415</v>
      </c>
      <c r="AD19" s="195">
        <v>698955</v>
      </c>
      <c r="AE19" s="195">
        <v>707005</v>
      </c>
      <c r="AF19" s="388">
        <v>718593</v>
      </c>
      <c r="AG19" s="396">
        <v>740061</v>
      </c>
    </row>
    <row r="20" spans="2:39" x14ac:dyDescent="0.25">
      <c r="B20" s="408"/>
      <c r="C20" s="132" t="s">
        <v>11</v>
      </c>
      <c r="D20" s="203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5"/>
      <c r="Q20" s="175"/>
      <c r="R20" s="175"/>
      <c r="S20" s="176"/>
      <c r="T20" s="176"/>
      <c r="U20" s="176"/>
      <c r="V20" s="176"/>
      <c r="W20" s="177"/>
      <c r="X20" s="177"/>
      <c r="Y20" s="177"/>
      <c r="Z20" s="177"/>
      <c r="AA20" s="177">
        <v>50476</v>
      </c>
      <c r="AB20" s="177">
        <v>51078</v>
      </c>
      <c r="AC20" s="177">
        <v>51685</v>
      </c>
      <c r="AD20" s="178">
        <v>52417</v>
      </c>
      <c r="AE20" s="178">
        <v>53645</v>
      </c>
      <c r="AF20" s="385">
        <v>55000</v>
      </c>
      <c r="AG20" s="393">
        <v>56866</v>
      </c>
      <c r="AI20" s="4"/>
    </row>
    <row r="21" spans="2:39" ht="15.75" thickBot="1" x14ac:dyDescent="0.3">
      <c r="B21" s="411"/>
      <c r="C21" s="220" t="s">
        <v>12</v>
      </c>
      <c r="D21" s="204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80"/>
      <c r="T21" s="180"/>
      <c r="U21" s="180"/>
      <c r="V21" s="180"/>
      <c r="W21" s="180"/>
      <c r="X21" s="180"/>
      <c r="Y21" s="180"/>
      <c r="Z21" s="180"/>
      <c r="AA21" s="180">
        <f t="shared" ref="AA21:AF21" si="8">AVERAGE(AA19/AA20)</f>
        <v>13.38669862905143</v>
      </c>
      <c r="AB21" s="180">
        <f t="shared" si="8"/>
        <v>13.404655624730804</v>
      </c>
      <c r="AC21" s="180">
        <f t="shared" ref="AC21" si="9">AVERAGE(AC19/AC20)</f>
        <v>13.396826932378833</v>
      </c>
      <c r="AD21" s="180">
        <f t="shared" si="8"/>
        <v>13.334509796440086</v>
      </c>
      <c r="AE21" s="180">
        <f t="shared" si="8"/>
        <v>13.17932705750769</v>
      </c>
      <c r="AF21" s="389">
        <f t="shared" si="8"/>
        <v>13.065327272727274</v>
      </c>
      <c r="AG21" s="397">
        <f t="shared" ref="AG21" si="10">AVERAGE(AG19/AG20)</f>
        <v>13.014120915837232</v>
      </c>
    </row>
    <row r="22" spans="2:39" x14ac:dyDescent="0.25">
      <c r="B22" s="173" t="s">
        <v>39</v>
      </c>
      <c r="C22" s="205"/>
      <c r="D22" s="200"/>
      <c r="E22" s="116"/>
      <c r="F22" s="116"/>
      <c r="G22" s="116"/>
      <c r="H22" s="116"/>
      <c r="I22" s="116"/>
      <c r="J22" s="116"/>
      <c r="K22" s="116"/>
      <c r="L22" s="116"/>
      <c r="M22" s="181"/>
      <c r="N22" s="181"/>
      <c r="O22" s="181"/>
      <c r="P22" s="181"/>
      <c r="Q22" s="181"/>
      <c r="R22" s="182"/>
      <c r="S22" s="183"/>
      <c r="T22" s="183"/>
      <c r="U22" s="183"/>
      <c r="V22" s="183"/>
      <c r="W22" s="184"/>
      <c r="X22" s="184"/>
      <c r="Y22" s="184"/>
      <c r="Z22" s="184"/>
      <c r="AA22" s="184">
        <v>475430</v>
      </c>
      <c r="AB22" s="184">
        <v>482135</v>
      </c>
      <c r="AC22" s="184">
        <v>486807</v>
      </c>
      <c r="AD22" s="185">
        <v>488946</v>
      </c>
      <c r="AE22" s="185">
        <v>490289</v>
      </c>
      <c r="AF22" s="384">
        <v>491329</v>
      </c>
      <c r="AG22" s="392">
        <v>495233</v>
      </c>
    </row>
    <row r="23" spans="2:39" x14ac:dyDescent="0.25">
      <c r="B23" s="186" t="s">
        <v>40</v>
      </c>
      <c r="C23" s="206"/>
      <c r="D23" s="203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5"/>
      <c r="S23" s="177"/>
      <c r="T23" s="177"/>
      <c r="U23" s="177"/>
      <c r="V23" s="177"/>
      <c r="W23" s="177"/>
      <c r="X23" s="177"/>
      <c r="Y23" s="177"/>
      <c r="Z23" s="177"/>
      <c r="AA23" s="177">
        <f t="shared" ref="AA23:AB23" si="11">SUM(AA19-AA22)</f>
        <v>200277</v>
      </c>
      <c r="AB23" s="177">
        <f t="shared" si="11"/>
        <v>202548</v>
      </c>
      <c r="AC23" s="177">
        <f t="shared" ref="AC23" si="12">SUM(AC19-AC22)</f>
        <v>205608</v>
      </c>
      <c r="AD23" s="178">
        <f>(podklad!U12+podklad!U19+podklad!U26)+(podklad!U13*0.25)+(podklad!U20*0.25)</f>
        <v>210009.1452330077</v>
      </c>
      <c r="AE23" s="178">
        <f>(podklad!V12+podklad!V19+podklad!V26)+(podklad!V13*0.25)+(podklad!V20*0.25)</f>
        <v>216715.96230545544</v>
      </c>
      <c r="AF23" s="385">
        <f>(podklad!W12+podklad!W19+podklad!W26)+(podklad!W13*0.25)+(podklad!W20*0.25)</f>
        <v>227263.65336032148</v>
      </c>
      <c r="AG23" s="393">
        <f>(podklad!X12+podklad!X19+podklad!X26)+(podklad!X13*0.25)+(podklad!X20*0.25)</f>
        <v>244828.10844151964</v>
      </c>
      <c r="AI23" s="4"/>
      <c r="AJ23" s="4"/>
      <c r="AK23" s="4"/>
      <c r="AL23" s="4"/>
      <c r="AM23" s="4"/>
    </row>
    <row r="24" spans="2:39" x14ac:dyDescent="0.25">
      <c r="B24" s="186" t="s">
        <v>41</v>
      </c>
      <c r="C24" s="206"/>
      <c r="D24" s="203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5"/>
      <c r="S24" s="176"/>
      <c r="T24" s="176"/>
      <c r="U24" s="176"/>
      <c r="V24" s="176"/>
      <c r="W24" s="177"/>
      <c r="X24" s="177"/>
      <c r="Y24" s="177"/>
      <c r="Z24" s="177"/>
      <c r="AA24" s="177">
        <v>25061</v>
      </c>
      <c r="AB24" s="177">
        <v>25165</v>
      </c>
      <c r="AC24" s="177">
        <v>25162</v>
      </c>
      <c r="AD24" s="178">
        <v>24852</v>
      </c>
      <c r="AE24" s="178">
        <v>24871</v>
      </c>
      <c r="AF24" s="385">
        <v>24900</v>
      </c>
      <c r="AG24" s="393">
        <v>25427</v>
      </c>
    </row>
    <row r="25" spans="2:39" ht="15.75" thickBot="1" x14ac:dyDescent="0.3">
      <c r="B25" s="187" t="s">
        <v>42</v>
      </c>
      <c r="C25" s="221"/>
      <c r="D25" s="216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9"/>
      <c r="T25" s="189"/>
      <c r="U25" s="189"/>
      <c r="V25" s="189"/>
      <c r="W25" s="189"/>
      <c r="X25" s="189"/>
      <c r="Y25" s="189"/>
      <c r="Z25" s="189"/>
      <c r="AA25" s="189">
        <f>SUM(AA16-AA24)</f>
        <v>5804</v>
      </c>
      <c r="AB25" s="189">
        <f>SUM(AB16-AB24)</f>
        <v>5878</v>
      </c>
      <c r="AC25" s="189">
        <f>SUM(AC16-AC24)</f>
        <v>5907</v>
      </c>
      <c r="AD25" s="190">
        <v>6302</v>
      </c>
      <c r="AE25" s="190">
        <v>6310</v>
      </c>
      <c r="AF25" s="390">
        <v>6602</v>
      </c>
      <c r="AG25" s="398">
        <v>7532</v>
      </c>
    </row>
    <row r="26" spans="2:39" x14ac:dyDescent="0.25"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X26" s="4"/>
      <c r="Y26" s="5"/>
      <c r="Z26" s="5"/>
      <c r="AA26" s="5"/>
    </row>
    <row r="27" spans="2:39" ht="20.25" x14ac:dyDescent="0.3">
      <c r="B27" s="1" t="s">
        <v>15</v>
      </c>
      <c r="C27" s="1" t="s">
        <v>1</v>
      </c>
      <c r="Q27" s="6"/>
      <c r="S27" s="4"/>
      <c r="T27" s="4"/>
      <c r="Y27" s="5"/>
      <c r="Z27" s="5"/>
      <c r="AA27" s="5"/>
    </row>
    <row r="28" spans="2:39" ht="13.9" customHeight="1" x14ac:dyDescent="0.3">
      <c r="B28" s="329" t="s">
        <v>16</v>
      </c>
      <c r="C28" s="1"/>
      <c r="Q28" s="6"/>
      <c r="S28" s="4"/>
      <c r="T28" s="4"/>
      <c r="Y28" s="5"/>
      <c r="Z28" s="5"/>
      <c r="AA28" s="5"/>
    </row>
    <row r="29" spans="2:39" ht="14.45" customHeight="1" thickBot="1" x14ac:dyDescent="0.3">
      <c r="P29" s="6"/>
      <c r="Q29" s="4"/>
      <c r="R29" s="4"/>
      <c r="AD29" s="359" t="s">
        <v>32</v>
      </c>
      <c r="AE29" s="359"/>
      <c r="AF29" s="359"/>
    </row>
    <row r="30" spans="2:39" ht="15.75" thickBot="1" x14ac:dyDescent="0.3">
      <c r="B30" s="211"/>
      <c r="C30" s="209" t="s">
        <v>8</v>
      </c>
      <c r="D30" s="201">
        <v>1999</v>
      </c>
      <c r="E30" s="196">
        <v>2000</v>
      </c>
      <c r="F30" s="196">
        <v>2001</v>
      </c>
      <c r="G30" s="196">
        <v>2002</v>
      </c>
      <c r="H30" s="196">
        <v>2003</v>
      </c>
      <c r="I30" s="196">
        <v>2004</v>
      </c>
      <c r="J30" s="196">
        <v>2005</v>
      </c>
      <c r="K30" s="196">
        <v>2006</v>
      </c>
      <c r="L30" s="196">
        <v>2007</v>
      </c>
      <c r="M30" s="196">
        <v>2008</v>
      </c>
      <c r="N30" s="196">
        <v>2009</v>
      </c>
      <c r="O30" s="196">
        <v>2010</v>
      </c>
      <c r="P30" s="197">
        <v>2011</v>
      </c>
      <c r="Q30" s="197">
        <v>2012</v>
      </c>
      <c r="R30" s="197">
        <v>2013</v>
      </c>
      <c r="S30" s="197">
        <v>2014</v>
      </c>
      <c r="T30" s="197">
        <v>2015</v>
      </c>
      <c r="U30" s="197">
        <v>2016</v>
      </c>
      <c r="V30" s="197">
        <v>2017</v>
      </c>
      <c r="W30" s="197">
        <v>2018</v>
      </c>
      <c r="X30" s="198">
        <v>2019</v>
      </c>
      <c r="Y30" s="198">
        <v>2020</v>
      </c>
      <c r="Z30" s="198">
        <v>2021</v>
      </c>
      <c r="AA30" s="198">
        <v>2022</v>
      </c>
      <c r="AB30" s="198">
        <v>2023</v>
      </c>
      <c r="AC30" s="198">
        <v>2024</v>
      </c>
      <c r="AD30" s="199">
        <v>2025</v>
      </c>
      <c r="AE30" s="199">
        <v>2026</v>
      </c>
      <c r="AF30" s="383">
        <v>2027</v>
      </c>
      <c r="AG30" s="391">
        <v>2028</v>
      </c>
      <c r="AH30" s="4"/>
    </row>
    <row r="31" spans="2:39" ht="13.9" customHeight="1" x14ac:dyDescent="0.25">
      <c r="B31" s="399" t="s">
        <v>9</v>
      </c>
      <c r="C31" s="144" t="s">
        <v>10</v>
      </c>
      <c r="D31" s="202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2"/>
      <c r="Q31" s="182"/>
      <c r="R31" s="182"/>
      <c r="S31" s="183"/>
      <c r="T31" s="183"/>
      <c r="U31" s="183"/>
      <c r="V31" s="183"/>
      <c r="W31" s="184"/>
      <c r="X31" s="184"/>
      <c r="Y31" s="184"/>
      <c r="Z31" s="184"/>
      <c r="AA31" s="184">
        <f t="shared" ref="AA31:AB31" si="13">SUM(AA37,AA34)</f>
        <v>714718</v>
      </c>
      <c r="AB31" s="184">
        <f t="shared" si="13"/>
        <v>724040</v>
      </c>
      <c r="AC31" s="184">
        <f t="shared" ref="AC31" si="14">SUM(AC37,AC34)</f>
        <v>732038</v>
      </c>
      <c r="AD31" s="185">
        <v>738817</v>
      </c>
      <c r="AE31" s="185">
        <v>747292</v>
      </c>
      <c r="AF31" s="384">
        <v>759663</v>
      </c>
      <c r="AG31" s="392">
        <v>783269</v>
      </c>
      <c r="AH31" s="4"/>
      <c r="AI31" s="4"/>
    </row>
    <row r="32" spans="2:39" x14ac:dyDescent="0.25">
      <c r="B32" s="399"/>
      <c r="C32" s="132" t="s">
        <v>11</v>
      </c>
      <c r="D32" s="203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Q32" s="175"/>
      <c r="R32" s="175"/>
      <c r="S32" s="176"/>
      <c r="T32" s="176"/>
      <c r="U32" s="176"/>
      <c r="V32" s="176"/>
      <c r="W32" s="177"/>
      <c r="X32" s="177"/>
      <c r="Y32" s="177"/>
      <c r="Z32" s="177"/>
      <c r="AA32" s="177">
        <f>SUM(AA38,AA35)</f>
        <v>54060</v>
      </c>
      <c r="AB32" s="177">
        <f>SUM(AB38,AB35)</f>
        <v>54717</v>
      </c>
      <c r="AC32" s="177">
        <f>SUM(AC38,AC35)</f>
        <v>55331</v>
      </c>
      <c r="AD32" s="178">
        <v>56089</v>
      </c>
      <c r="AE32" s="178">
        <v>57368</v>
      </c>
      <c r="AF32" s="385">
        <v>58740</v>
      </c>
      <c r="AG32" s="393">
        <v>60714</v>
      </c>
    </row>
    <row r="33" spans="1:39" ht="15.75" thickBot="1" x14ac:dyDescent="0.3">
      <c r="B33" s="400"/>
      <c r="C33" s="222" t="s">
        <v>12</v>
      </c>
      <c r="D33" s="223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5"/>
      <c r="T33" s="225"/>
      <c r="U33" s="225"/>
      <c r="V33" s="225"/>
      <c r="W33" s="225"/>
      <c r="X33" s="225"/>
      <c r="Y33" s="225"/>
      <c r="Z33" s="225"/>
      <c r="AA33" s="225">
        <f t="shared" ref="AA33:AF33" si="15">AVERAGE(AA31/AA32)</f>
        <v>13.220828708842028</v>
      </c>
      <c r="AB33" s="225">
        <f t="shared" si="15"/>
        <v>13.232450609499789</v>
      </c>
      <c r="AC33" s="225">
        <f t="shared" ref="AC33" si="16">AVERAGE(AC31/AC32)</f>
        <v>13.230160307964793</v>
      </c>
      <c r="AD33" s="225">
        <f t="shared" si="15"/>
        <v>13.17222628322844</v>
      </c>
      <c r="AE33" s="225">
        <f t="shared" si="15"/>
        <v>13.026286431460047</v>
      </c>
      <c r="AF33" s="386">
        <f t="shared" si="15"/>
        <v>12.932635342185904</v>
      </c>
      <c r="AG33" s="394">
        <f t="shared" ref="AG33" si="17">AVERAGE(AG31/AG32)</f>
        <v>12.900961886879468</v>
      </c>
    </row>
    <row r="34" spans="1:39" ht="14.45" customHeight="1" thickTop="1" x14ac:dyDescent="0.25">
      <c r="B34" s="401" t="s">
        <v>13</v>
      </c>
      <c r="C34" s="164" t="s">
        <v>10</v>
      </c>
      <c r="D34" s="226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8"/>
      <c r="Q34" s="228"/>
      <c r="R34" s="228"/>
      <c r="S34" s="229"/>
      <c r="T34" s="229"/>
      <c r="U34" s="229"/>
      <c r="V34" s="229"/>
      <c r="W34" s="230"/>
      <c r="X34" s="230"/>
      <c r="Y34" s="230"/>
      <c r="Z34" s="230"/>
      <c r="AA34" s="230">
        <v>30865</v>
      </c>
      <c r="AB34" s="230">
        <v>31043</v>
      </c>
      <c r="AC34" s="230">
        <v>31069</v>
      </c>
      <c r="AD34" s="231">
        <v>31154</v>
      </c>
      <c r="AE34" s="231">
        <v>31181</v>
      </c>
      <c r="AF34" s="387">
        <v>31502</v>
      </c>
      <c r="AG34" s="395">
        <v>32959</v>
      </c>
      <c r="AI34" s="4"/>
    </row>
    <row r="35" spans="1:39" x14ac:dyDescent="0.25">
      <c r="B35" s="402"/>
      <c r="C35" s="132" t="s">
        <v>11</v>
      </c>
      <c r="D35" s="203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5"/>
      <c r="Q35" s="175"/>
      <c r="R35" s="175"/>
      <c r="S35" s="176"/>
      <c r="T35" s="176"/>
      <c r="U35" s="176"/>
      <c r="V35" s="176"/>
      <c r="W35" s="177"/>
      <c r="X35" s="177"/>
      <c r="Y35" s="177"/>
      <c r="Z35" s="177"/>
      <c r="AA35" s="177">
        <v>3584</v>
      </c>
      <c r="AB35" s="177">
        <v>3639</v>
      </c>
      <c r="AC35" s="177">
        <v>3646</v>
      </c>
      <c r="AD35" s="178">
        <v>3672</v>
      </c>
      <c r="AE35" s="178">
        <v>3723</v>
      </c>
      <c r="AF35" s="385">
        <v>3740</v>
      </c>
      <c r="AG35" s="393">
        <v>3848</v>
      </c>
    </row>
    <row r="36" spans="1:39" ht="15.75" thickBot="1" x14ac:dyDescent="0.3">
      <c r="B36" s="403"/>
      <c r="C36" s="222" t="s">
        <v>12</v>
      </c>
      <c r="D36" s="223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5"/>
      <c r="T36" s="225"/>
      <c r="U36" s="225"/>
      <c r="V36" s="225"/>
      <c r="W36" s="225"/>
      <c r="X36" s="225"/>
      <c r="Y36" s="225"/>
      <c r="Z36" s="225"/>
      <c r="AA36" s="225">
        <f t="shared" ref="AA36:AF36" si="18">AVERAGE(AA34/AA35)</f>
        <v>8.6118861607142865</v>
      </c>
      <c r="AB36" s="225">
        <f t="shared" si="18"/>
        <v>8.530640285792801</v>
      </c>
      <c r="AC36" s="225">
        <f t="shared" ref="AC36" si="19">AVERAGE(AC34/AC35)</f>
        <v>8.5213933077345043</v>
      </c>
      <c r="AD36" s="225">
        <f t="shared" si="18"/>
        <v>8.4842047930283222</v>
      </c>
      <c r="AE36" s="225">
        <f t="shared" si="18"/>
        <v>8.3752350255170569</v>
      </c>
      <c r="AF36" s="386">
        <f t="shared" si="18"/>
        <v>8.4229946524064179</v>
      </c>
      <c r="AG36" s="394">
        <f t="shared" ref="AG36" si="20">AVERAGE(AG34/AG35)</f>
        <v>8.5652286902286896</v>
      </c>
    </row>
    <row r="37" spans="1:39" ht="14.45" customHeight="1" thickTop="1" x14ac:dyDescent="0.25">
      <c r="B37" s="401" t="s">
        <v>14</v>
      </c>
      <c r="C37" s="232" t="s">
        <v>10</v>
      </c>
      <c r="D37" s="219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2"/>
      <c r="Q37" s="192"/>
      <c r="R37" s="192"/>
      <c r="S37" s="193"/>
      <c r="T37" s="193"/>
      <c r="U37" s="193"/>
      <c r="V37" s="193"/>
      <c r="W37" s="194"/>
      <c r="X37" s="194"/>
      <c r="Y37" s="194"/>
      <c r="Z37" s="194"/>
      <c r="AA37" s="194">
        <v>683853</v>
      </c>
      <c r="AB37" s="194">
        <v>692997</v>
      </c>
      <c r="AC37" s="194">
        <v>700969</v>
      </c>
      <c r="AD37" s="195">
        <v>707663</v>
      </c>
      <c r="AE37" s="195">
        <v>716111</v>
      </c>
      <c r="AF37" s="388">
        <v>728161</v>
      </c>
      <c r="AG37" s="396">
        <v>750310</v>
      </c>
      <c r="AI37" s="4"/>
    </row>
    <row r="38" spans="1:39" x14ac:dyDescent="0.25">
      <c r="B38" s="402"/>
      <c r="C38" s="208" t="s">
        <v>11</v>
      </c>
      <c r="D38" s="203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5"/>
      <c r="Q38" s="175"/>
      <c r="R38" s="175"/>
      <c r="S38" s="176"/>
      <c r="T38" s="176"/>
      <c r="U38" s="176"/>
      <c r="V38" s="176"/>
      <c r="W38" s="177"/>
      <c r="X38" s="177"/>
      <c r="Y38" s="177"/>
      <c r="Z38" s="177"/>
      <c r="AA38" s="177">
        <v>50476</v>
      </c>
      <c r="AB38" s="177">
        <v>51078</v>
      </c>
      <c r="AC38" s="177">
        <v>51685</v>
      </c>
      <c r="AD38" s="178">
        <v>52417</v>
      </c>
      <c r="AE38" s="178">
        <v>53645</v>
      </c>
      <c r="AF38" s="385">
        <v>55000</v>
      </c>
      <c r="AG38" s="393">
        <v>56866</v>
      </c>
    </row>
    <row r="39" spans="1:39" ht="15.75" thickBot="1" x14ac:dyDescent="0.3">
      <c r="B39" s="404"/>
      <c r="C39" s="210" t="s">
        <v>12</v>
      </c>
      <c r="D39" s="204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80"/>
      <c r="T39" s="180"/>
      <c r="U39" s="180"/>
      <c r="V39" s="180"/>
      <c r="W39" s="180"/>
      <c r="X39" s="180"/>
      <c r="Y39" s="180"/>
      <c r="Z39" s="180"/>
      <c r="AA39" s="180">
        <f t="shared" ref="AA39:AF39" si="21">AVERAGE(AA37/AA38)</f>
        <v>13.548082256914178</v>
      </c>
      <c r="AB39" s="180">
        <f t="shared" si="21"/>
        <v>13.567426289204745</v>
      </c>
      <c r="AC39" s="180">
        <f t="shared" ref="AC39" si="22">AVERAGE(AC37/AC38)</f>
        <v>13.562329495985296</v>
      </c>
      <c r="AD39" s="180">
        <f t="shared" si="21"/>
        <v>13.500639105633669</v>
      </c>
      <c r="AE39" s="180">
        <f t="shared" si="21"/>
        <v>13.349072606953118</v>
      </c>
      <c r="AF39" s="389">
        <f t="shared" si="21"/>
        <v>13.23929090909091</v>
      </c>
      <c r="AG39" s="397">
        <f t="shared" ref="AG39" si="23">AVERAGE(AG37/AG38)</f>
        <v>13.194351633665107</v>
      </c>
    </row>
    <row r="40" spans="1:39" x14ac:dyDescent="0.25">
      <c r="B40" s="212" t="s">
        <v>39</v>
      </c>
      <c r="C40" s="207"/>
      <c r="D40" s="200"/>
      <c r="E40" s="116"/>
      <c r="F40" s="116"/>
      <c r="G40" s="116"/>
      <c r="H40" s="116"/>
      <c r="I40" s="116"/>
      <c r="J40" s="116"/>
      <c r="K40" s="116"/>
      <c r="L40" s="116"/>
      <c r="M40" s="181"/>
      <c r="N40" s="181"/>
      <c r="O40" s="181"/>
      <c r="P40" s="181"/>
      <c r="Q40" s="181"/>
      <c r="R40" s="182"/>
      <c r="S40" s="183"/>
      <c r="T40" s="183"/>
      <c r="U40" s="183"/>
      <c r="V40" s="183"/>
      <c r="W40" s="184"/>
      <c r="X40" s="184"/>
      <c r="Y40" s="184"/>
      <c r="Z40" s="184"/>
      <c r="AA40" s="184">
        <v>475430</v>
      </c>
      <c r="AB40" s="184">
        <v>482135</v>
      </c>
      <c r="AC40" s="184">
        <v>486807</v>
      </c>
      <c r="AD40" s="185">
        <v>488946</v>
      </c>
      <c r="AE40" s="185">
        <v>490289</v>
      </c>
      <c r="AF40" s="384">
        <v>491329</v>
      </c>
      <c r="AG40" s="392">
        <v>495233</v>
      </c>
      <c r="AI40" s="4"/>
    </row>
    <row r="41" spans="1:39" x14ac:dyDescent="0.25">
      <c r="B41" s="213" t="s">
        <v>40</v>
      </c>
      <c r="C41" s="208"/>
      <c r="D41" s="203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5"/>
      <c r="S41" s="176"/>
      <c r="T41" s="176"/>
      <c r="U41" s="176"/>
      <c r="V41" s="176"/>
      <c r="W41" s="177"/>
      <c r="X41" s="177"/>
      <c r="Y41" s="177"/>
      <c r="Z41" s="177"/>
      <c r="AA41" s="177">
        <f>SUM(AA37-AA40)</f>
        <v>208423</v>
      </c>
      <c r="AB41" s="177">
        <f>SUM(AB37-AB40)</f>
        <v>210862</v>
      </c>
      <c r="AC41" s="177">
        <f>SUM(AC37-AC40)</f>
        <v>214162</v>
      </c>
      <c r="AD41" s="178">
        <f>podklad!U33+podklad!U13+podklad!U20+podklad!U27</f>
        <v>218716.6452330077</v>
      </c>
      <c r="AE41" s="178">
        <f>podklad!V33+podklad!V13+podklad!V20+podklad!V27</f>
        <v>225821.71230545544</v>
      </c>
      <c r="AF41" s="385">
        <f>podklad!W33+podklad!W13+podklad!W20+podklad!W27</f>
        <v>236832.15336032148</v>
      </c>
      <c r="AG41" s="393">
        <f>podklad!X33+podklad!X13+podklad!X20+podklad!X27</f>
        <v>255076.85844151964</v>
      </c>
      <c r="AI41" s="4"/>
      <c r="AJ41" s="4"/>
      <c r="AK41" s="4"/>
      <c r="AL41" s="4"/>
      <c r="AM41" s="4"/>
    </row>
    <row r="42" spans="1:39" x14ac:dyDescent="0.25">
      <c r="B42" s="213" t="s">
        <v>41</v>
      </c>
      <c r="C42" s="208"/>
      <c r="D42" s="203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5"/>
      <c r="S42" s="176"/>
      <c r="T42" s="176"/>
      <c r="U42" s="176"/>
      <c r="V42" s="176"/>
      <c r="W42" s="177"/>
      <c r="X42" s="177"/>
      <c r="Y42" s="177"/>
      <c r="Z42" s="177"/>
      <c r="AA42" s="177">
        <v>25014</v>
      </c>
      <c r="AB42" s="177">
        <v>25165</v>
      </c>
      <c r="AC42" s="177">
        <v>25162</v>
      </c>
      <c r="AD42" s="178">
        <v>24852</v>
      </c>
      <c r="AE42" s="178">
        <v>24871</v>
      </c>
      <c r="AF42" s="385">
        <v>24900</v>
      </c>
      <c r="AG42" s="393">
        <v>25427</v>
      </c>
      <c r="AI42" s="4"/>
    </row>
    <row r="43" spans="1:39" ht="15.75" thickBot="1" x14ac:dyDescent="0.3">
      <c r="B43" s="214" t="s">
        <v>42</v>
      </c>
      <c r="C43" s="215"/>
      <c r="D43" s="216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217"/>
      <c r="T43" s="217"/>
      <c r="U43" s="217"/>
      <c r="V43" s="217"/>
      <c r="W43" s="189"/>
      <c r="X43" s="189"/>
      <c r="Y43" s="189"/>
      <c r="Z43" s="189"/>
      <c r="AA43" s="189">
        <f t="shared" ref="AA43:AB43" si="24">SUM(AA34-AA42)</f>
        <v>5851</v>
      </c>
      <c r="AB43" s="189">
        <f t="shared" si="24"/>
        <v>5878</v>
      </c>
      <c r="AC43" s="189">
        <f t="shared" ref="AC43" si="25">SUM(AC34-AC42)</f>
        <v>5907</v>
      </c>
      <c r="AD43" s="190">
        <v>6302</v>
      </c>
      <c r="AE43" s="190">
        <v>6310</v>
      </c>
      <c r="AF43" s="390">
        <v>6602</v>
      </c>
      <c r="AG43" s="398">
        <v>7532</v>
      </c>
      <c r="AI43" s="4"/>
    </row>
    <row r="44" spans="1:39" s="5" customFormat="1" x14ac:dyDescent="0.25">
      <c r="B44" s="325"/>
      <c r="C44" s="325"/>
      <c r="D44" s="318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9"/>
      <c r="T44" s="319"/>
      <c r="U44" s="319"/>
      <c r="V44" s="319"/>
      <c r="W44" s="320"/>
      <c r="X44" s="320"/>
      <c r="Y44" s="320"/>
      <c r="Z44" s="320"/>
      <c r="AA44" s="320"/>
      <c r="AB44" s="320"/>
      <c r="AC44" s="320"/>
      <c r="AD44" s="320"/>
      <c r="AE44" s="320"/>
      <c r="AF44" s="320"/>
    </row>
    <row r="46" spans="1:39" ht="27" x14ac:dyDescent="0.35">
      <c r="A46" s="321" t="s">
        <v>61</v>
      </c>
      <c r="B46" s="322"/>
      <c r="C46" s="322"/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V46" s="322"/>
      <c r="W46" s="322"/>
      <c r="X46" s="322"/>
      <c r="Y46" s="322"/>
      <c r="Z46" s="322"/>
      <c r="AA46" s="322"/>
      <c r="AB46" s="322"/>
      <c r="AC46" s="322"/>
      <c r="AD46" s="322"/>
      <c r="AE46" s="322"/>
      <c r="AF46" s="322"/>
      <c r="AG46" s="322"/>
    </row>
    <row r="47" spans="1:39" ht="20.25" x14ac:dyDescent="0.3">
      <c r="B47" s="1" t="s">
        <v>0</v>
      </c>
      <c r="C47" s="1" t="s">
        <v>1</v>
      </c>
    </row>
    <row r="48" spans="1:39" x14ac:dyDescent="0.25">
      <c r="A48" s="3"/>
      <c r="B48" s="3" t="s">
        <v>2</v>
      </c>
    </row>
    <row r="49" spans="1:35" x14ac:dyDescent="0.25">
      <c r="A49" s="3"/>
      <c r="B49" s="3" t="s">
        <v>3</v>
      </c>
    </row>
    <row r="50" spans="1:35" x14ac:dyDescent="0.25">
      <c r="A50" s="3"/>
      <c r="B50" s="3" t="s">
        <v>4</v>
      </c>
    </row>
    <row r="51" spans="1:35" x14ac:dyDescent="0.25">
      <c r="A51" s="3"/>
      <c r="B51" s="3" t="s">
        <v>5</v>
      </c>
    </row>
    <row r="52" spans="1:35" x14ac:dyDescent="0.25">
      <c r="A52" s="3"/>
      <c r="B52" s="3" t="s">
        <v>6</v>
      </c>
    </row>
    <row r="53" spans="1:35" x14ac:dyDescent="0.25">
      <c r="A53" s="3"/>
      <c r="B53" s="3" t="s">
        <v>7</v>
      </c>
    </row>
    <row r="55" spans="1:35" ht="15.75" thickBot="1" x14ac:dyDescent="0.3">
      <c r="P55" s="4"/>
      <c r="Q55" s="4"/>
      <c r="AC55"/>
      <c r="AD55"/>
      <c r="AE55"/>
      <c r="AF55"/>
    </row>
    <row r="56" spans="1:35" ht="15.75" thickBot="1" x14ac:dyDescent="0.3">
      <c r="B56" s="144"/>
      <c r="C56" s="218" t="s">
        <v>8</v>
      </c>
      <c r="D56" s="196">
        <v>1999</v>
      </c>
      <c r="E56" s="196">
        <v>2000</v>
      </c>
      <c r="F56" s="196">
        <v>2001</v>
      </c>
      <c r="G56" s="196">
        <v>2002</v>
      </c>
      <c r="H56" s="196">
        <v>2003</v>
      </c>
      <c r="I56" s="196">
        <v>2004</v>
      </c>
      <c r="J56" s="196">
        <v>2005</v>
      </c>
      <c r="K56" s="196">
        <v>2006</v>
      </c>
      <c r="L56" s="196">
        <v>2007</v>
      </c>
      <c r="M56" s="196">
        <v>2008</v>
      </c>
      <c r="N56" s="196">
        <v>2009</v>
      </c>
      <c r="O56" s="196">
        <v>2010</v>
      </c>
      <c r="P56" s="197">
        <v>2011</v>
      </c>
      <c r="Q56" s="197">
        <v>2012</v>
      </c>
      <c r="R56" s="197">
        <v>2013</v>
      </c>
      <c r="S56" s="197">
        <v>2014</v>
      </c>
      <c r="T56" s="197">
        <v>2015</v>
      </c>
      <c r="U56" s="197">
        <v>2016</v>
      </c>
      <c r="V56" s="197">
        <v>2017</v>
      </c>
      <c r="W56" s="197">
        <v>2018</v>
      </c>
      <c r="X56" s="198">
        <v>2019</v>
      </c>
      <c r="Y56" s="198">
        <v>2020</v>
      </c>
      <c r="Z56" s="198">
        <v>2021</v>
      </c>
      <c r="AA56" s="198">
        <v>2022</v>
      </c>
      <c r="AB56" s="198">
        <v>2023</v>
      </c>
      <c r="AC56" s="198">
        <v>2024</v>
      </c>
      <c r="AD56"/>
      <c r="AE56"/>
      <c r="AF56"/>
    </row>
    <row r="57" spans="1:35" x14ac:dyDescent="0.25">
      <c r="B57" s="405" t="s">
        <v>9</v>
      </c>
      <c r="C57" s="144" t="s">
        <v>10</v>
      </c>
      <c r="D57" s="219">
        <v>980399.25</v>
      </c>
      <c r="E57" s="191">
        <v>966117.25</v>
      </c>
      <c r="F57" s="191">
        <v>953001.75</v>
      </c>
      <c r="G57" s="191">
        <v>942280</v>
      </c>
      <c r="H57" s="191">
        <v>938812</v>
      </c>
      <c r="I57" s="191">
        <v>915208</v>
      </c>
      <c r="J57" s="191">
        <v>884777</v>
      </c>
      <c r="K57" s="191">
        <v>856361</v>
      </c>
      <c r="L57" s="191">
        <v>824677.25</v>
      </c>
      <c r="M57" s="191">
        <v>794614.5</v>
      </c>
      <c r="N57" s="191">
        <v>771265.25</v>
      </c>
      <c r="O57" s="191">
        <v>749105.75</v>
      </c>
      <c r="P57" s="192">
        <v>729194</v>
      </c>
      <c r="Q57" s="192">
        <f>SUM(Q63,Q60)</f>
        <v>708842.75</v>
      </c>
      <c r="R57" s="192">
        <f>SUM(R63,R60)</f>
        <v>693130</v>
      </c>
      <c r="S57" s="193">
        <f t="shared" ref="S57:V57" si="26">SUM(S63,S60)</f>
        <v>683359</v>
      </c>
      <c r="T57" s="193">
        <f t="shared" si="26"/>
        <v>679044</v>
      </c>
      <c r="U57" s="193">
        <f t="shared" si="26"/>
        <v>678640</v>
      </c>
      <c r="V57" s="193">
        <f t="shared" si="26"/>
        <v>682569</v>
      </c>
      <c r="W57" s="194">
        <f>SUM(W63,W60)</f>
        <v>683222</v>
      </c>
      <c r="X57" s="194">
        <f t="shared" ref="X57" si="27">SUM(X63,X60)</f>
        <v>685163</v>
      </c>
      <c r="Y57" s="194">
        <f t="shared" ref="Y57:AA57" si="28">SUM(Y63,Y60)</f>
        <v>691521</v>
      </c>
      <c r="Z57" s="194">
        <f t="shared" si="28"/>
        <v>699940</v>
      </c>
      <c r="AA57" s="194">
        <f t="shared" si="28"/>
        <v>714806</v>
      </c>
      <c r="AB57" s="194">
        <f t="shared" ref="AB57:AC57" si="29">SUM(AB63,AB60)</f>
        <v>724257</v>
      </c>
      <c r="AC57" s="194">
        <f t="shared" si="29"/>
        <v>732496</v>
      </c>
      <c r="AD57"/>
      <c r="AE57"/>
      <c r="AF57"/>
    </row>
    <row r="58" spans="1:35" x14ac:dyDescent="0.25">
      <c r="B58" s="405"/>
      <c r="C58" s="132" t="s">
        <v>11</v>
      </c>
      <c r="D58" s="203">
        <v>69141.75</v>
      </c>
      <c r="E58" s="174">
        <v>67538.75</v>
      </c>
      <c r="F58" s="174">
        <v>68277</v>
      </c>
      <c r="G58" s="174">
        <v>67643.25</v>
      </c>
      <c r="H58" s="174">
        <v>67733.5</v>
      </c>
      <c r="I58" s="174">
        <v>65694.25</v>
      </c>
      <c r="J58" s="174">
        <v>64306.75</v>
      </c>
      <c r="K58" s="174">
        <v>62862.25</v>
      </c>
      <c r="L58" s="174">
        <v>58194</v>
      </c>
      <c r="M58" s="174">
        <v>58103.5</v>
      </c>
      <c r="N58" s="174">
        <v>58171.5</v>
      </c>
      <c r="O58" s="174">
        <v>57876.5</v>
      </c>
      <c r="P58" s="175">
        <v>57248.25</v>
      </c>
      <c r="Q58" s="175">
        <f>SUM(Q64,Q61)</f>
        <v>56532.75</v>
      </c>
      <c r="R58" s="175">
        <f>SUM(R64,R61)</f>
        <v>55276</v>
      </c>
      <c r="S58" s="176">
        <f t="shared" ref="S58:U58" si="30">SUM(S64,S61)</f>
        <v>54429</v>
      </c>
      <c r="T58" s="176">
        <f>SUM(T64,T61)</f>
        <v>54326</v>
      </c>
      <c r="U58" s="176">
        <f t="shared" si="30"/>
        <v>53814</v>
      </c>
      <c r="V58" s="176">
        <f t="shared" ref="V58:X58" si="31">SUM(V64,V61)</f>
        <v>53873</v>
      </c>
      <c r="W58" s="177">
        <f t="shared" si="31"/>
        <v>53937</v>
      </c>
      <c r="X58" s="177">
        <f t="shared" si="31"/>
        <v>53986</v>
      </c>
      <c r="Y58" s="177">
        <f>SUM(Y64,Y61)</f>
        <v>54309</v>
      </c>
      <c r="Z58" s="177">
        <f>SUM(Z64,Z61)</f>
        <v>55001</v>
      </c>
      <c r="AA58" s="177">
        <f>SUM(AA64,AA61)</f>
        <v>54060</v>
      </c>
      <c r="AB58" s="177">
        <f>SUM(AB64,AB61)</f>
        <v>54717</v>
      </c>
      <c r="AC58" s="177">
        <f>SUM(AC64,AC61)</f>
        <v>55331</v>
      </c>
      <c r="AD58"/>
      <c r="AE58"/>
      <c r="AF58"/>
    </row>
    <row r="59" spans="1:35" x14ac:dyDescent="0.25">
      <c r="B59" s="406"/>
      <c r="C59" s="222" t="s">
        <v>12</v>
      </c>
      <c r="D59" s="223">
        <f>AVERAGE(D57/D58)</f>
        <v>14.179555044528088</v>
      </c>
      <c r="E59" s="224">
        <f t="shared" ref="E59:L59" si="32">AVERAGE(E57/E58)</f>
        <v>14.304636227350965</v>
      </c>
      <c r="F59" s="224">
        <f t="shared" si="32"/>
        <v>13.957873808163804</v>
      </c>
      <c r="G59" s="224">
        <f t="shared" si="32"/>
        <v>13.930140849234773</v>
      </c>
      <c r="H59" s="224">
        <f t="shared" si="32"/>
        <v>13.860379280562794</v>
      </c>
      <c r="I59" s="224">
        <f t="shared" si="32"/>
        <v>13.931325800964316</v>
      </c>
      <c r="J59" s="224">
        <f t="shared" si="32"/>
        <v>13.758695626819891</v>
      </c>
      <c r="K59" s="224">
        <f t="shared" si="32"/>
        <v>13.622818146025635</v>
      </c>
      <c r="L59" s="224">
        <f t="shared" si="32"/>
        <v>14.171173144997766</v>
      </c>
      <c r="M59" s="224">
        <v>13.675845689158141</v>
      </c>
      <c r="N59" s="224">
        <v>13.258472791659146</v>
      </c>
      <c r="O59" s="224">
        <v>12.943176418753726</v>
      </c>
      <c r="P59" s="224">
        <v>12.737402453350102</v>
      </c>
      <c r="Q59" s="224">
        <f>AVERAGE(Q57/Q58)</f>
        <v>12.53862141855827</v>
      </c>
      <c r="R59" s="224">
        <f t="shared" ref="R59:W59" si="33">AVERAGE(R57/R58)</f>
        <v>12.539438454302047</v>
      </c>
      <c r="S59" s="225">
        <f t="shared" si="33"/>
        <v>12.555053372283158</v>
      </c>
      <c r="T59" s="225">
        <f t="shared" si="33"/>
        <v>12.499429370835328</v>
      </c>
      <c r="U59" s="225">
        <f t="shared" si="33"/>
        <v>12.610844761586204</v>
      </c>
      <c r="V59" s="225">
        <f t="shared" si="33"/>
        <v>12.669964546247657</v>
      </c>
      <c r="W59" s="225">
        <f t="shared" si="33"/>
        <v>12.667037469640507</v>
      </c>
      <c r="X59" s="225">
        <f t="shared" ref="X59:Y59" si="34">AVERAGE(X57/X58)</f>
        <v>12.691494091060646</v>
      </c>
      <c r="Y59" s="225">
        <f t="shared" si="34"/>
        <v>12.733082914434071</v>
      </c>
      <c r="Z59" s="225">
        <f t="shared" ref="Z59:AA59" si="35">AVERAGE(Z57/Z58)</f>
        <v>12.725950437264776</v>
      </c>
      <c r="AA59" s="225">
        <f t="shared" si="35"/>
        <v>13.222456529781724</v>
      </c>
      <c r="AB59" s="225">
        <f t="shared" ref="AB59:AC59" si="36">AVERAGE(AB57/AB58)</f>
        <v>13.236416470201217</v>
      </c>
      <c r="AC59" s="225">
        <f t="shared" si="36"/>
        <v>13.238437765447941</v>
      </c>
      <c r="AD59"/>
      <c r="AE59"/>
      <c r="AF59"/>
    </row>
    <row r="60" spans="1:35" x14ac:dyDescent="0.25">
      <c r="B60" s="407" t="s">
        <v>13</v>
      </c>
      <c r="C60" s="164" t="s">
        <v>10</v>
      </c>
      <c r="D60" s="226">
        <v>25659</v>
      </c>
      <c r="E60" s="227">
        <v>26060</v>
      </c>
      <c r="F60" s="227">
        <v>27608</v>
      </c>
      <c r="G60" s="227">
        <v>28194</v>
      </c>
      <c r="H60" s="227">
        <v>28097</v>
      </c>
      <c r="I60" s="227">
        <v>29092</v>
      </c>
      <c r="J60" s="227">
        <v>29805</v>
      </c>
      <c r="K60" s="227">
        <v>30576</v>
      </c>
      <c r="L60" s="227">
        <v>33498</v>
      </c>
      <c r="M60" s="227">
        <v>34217</v>
      </c>
      <c r="N60" s="227">
        <v>34489</v>
      </c>
      <c r="O60" s="227">
        <v>35013</v>
      </c>
      <c r="P60" s="228">
        <v>34923</v>
      </c>
      <c r="Q60" s="228">
        <v>34850</v>
      </c>
      <c r="R60" s="228">
        <v>34880</v>
      </c>
      <c r="S60" s="229">
        <v>34587</v>
      </c>
      <c r="T60" s="229">
        <v>34107</v>
      </c>
      <c r="U60" s="229">
        <v>33293</v>
      </c>
      <c r="V60" s="229">
        <v>32857</v>
      </c>
      <c r="W60" s="230">
        <v>32632</v>
      </c>
      <c r="X60" s="230">
        <v>31936</v>
      </c>
      <c r="Y60" s="230">
        <v>31274</v>
      </c>
      <c r="Z60" s="230">
        <v>31176</v>
      </c>
      <c r="AA60" s="230">
        <v>30916</v>
      </c>
      <c r="AB60" s="230">
        <v>31119</v>
      </c>
      <c r="AC60" s="230">
        <v>31170</v>
      </c>
      <c r="AD60"/>
      <c r="AE60"/>
      <c r="AF60"/>
    </row>
    <row r="61" spans="1:35" x14ac:dyDescent="0.25">
      <c r="B61" s="408"/>
      <c r="C61" s="132" t="s">
        <v>11</v>
      </c>
      <c r="D61" s="203">
        <v>4056</v>
      </c>
      <c r="E61" s="174">
        <v>4009.75</v>
      </c>
      <c r="F61" s="174">
        <v>4270.5</v>
      </c>
      <c r="G61" s="174">
        <v>4371.75</v>
      </c>
      <c r="H61" s="174">
        <v>4430.25</v>
      </c>
      <c r="I61" s="174">
        <v>4418.25</v>
      </c>
      <c r="J61" s="174">
        <v>4428.75</v>
      </c>
      <c r="K61" s="174">
        <v>4331.25</v>
      </c>
      <c r="L61" s="174">
        <v>4505.5</v>
      </c>
      <c r="M61" s="174">
        <v>4776.5</v>
      </c>
      <c r="N61" s="174">
        <v>4984.75</v>
      </c>
      <c r="O61" s="174">
        <v>4995.75</v>
      </c>
      <c r="P61" s="175">
        <v>4757.75</v>
      </c>
      <c r="Q61" s="175">
        <v>4970.75</v>
      </c>
      <c r="R61" s="175">
        <v>4923</v>
      </c>
      <c r="S61" s="176">
        <v>4987</v>
      </c>
      <c r="T61" s="176">
        <v>5045</v>
      </c>
      <c r="U61" s="176">
        <v>4974</v>
      </c>
      <c r="V61" s="176">
        <v>4905</v>
      </c>
      <c r="W61" s="177">
        <v>4901</v>
      </c>
      <c r="X61" s="177">
        <v>4851</v>
      </c>
      <c r="Y61" s="177">
        <v>4864</v>
      </c>
      <c r="Z61" s="177">
        <v>4629</v>
      </c>
      <c r="AA61" s="177">
        <v>3584</v>
      </c>
      <c r="AB61" s="177">
        <v>3639</v>
      </c>
      <c r="AC61" s="177">
        <v>3646</v>
      </c>
      <c r="AD61"/>
      <c r="AE61"/>
      <c r="AF61"/>
    </row>
    <row r="62" spans="1:35" x14ac:dyDescent="0.25">
      <c r="B62" s="409"/>
      <c r="C62" s="222" t="s">
        <v>12</v>
      </c>
      <c r="D62" s="223">
        <f t="shared" ref="D62:L62" si="37">AVERAGE(D60/D61)</f>
        <v>6.3261834319526624</v>
      </c>
      <c r="E62" s="224">
        <f t="shared" si="37"/>
        <v>6.4991583016397527</v>
      </c>
      <c r="F62" s="224">
        <f t="shared" si="37"/>
        <v>6.4648167661866296</v>
      </c>
      <c r="G62" s="224">
        <f t="shared" si="37"/>
        <v>6.4491336421341572</v>
      </c>
      <c r="H62" s="224">
        <f t="shared" si="37"/>
        <v>6.342080018057672</v>
      </c>
      <c r="I62" s="224">
        <f t="shared" si="37"/>
        <v>6.5845074407287951</v>
      </c>
      <c r="J62" s="224">
        <f t="shared" si="37"/>
        <v>6.7298899237933956</v>
      </c>
      <c r="K62" s="224">
        <f t="shared" si="37"/>
        <v>7.0593939393939396</v>
      </c>
      <c r="L62" s="224">
        <f t="shared" si="37"/>
        <v>7.4349128842525802</v>
      </c>
      <c r="M62" s="224">
        <v>7.1636135245472623</v>
      </c>
      <c r="N62" s="224">
        <v>6.91890265309193</v>
      </c>
      <c r="O62" s="224">
        <v>7.00855727368263</v>
      </c>
      <c r="P62" s="224">
        <v>7.340234354474279</v>
      </c>
      <c r="Q62" s="224">
        <f>AVERAGE(Q60/Q61)</f>
        <v>7.0110144344414831</v>
      </c>
      <c r="R62" s="224">
        <f t="shared" ref="R62:W62" si="38">AVERAGE(R60/R61)</f>
        <v>7.0851107048547632</v>
      </c>
      <c r="S62" s="225">
        <f t="shared" si="38"/>
        <v>6.9354321235211547</v>
      </c>
      <c r="T62" s="225">
        <f t="shared" si="38"/>
        <v>6.7605550049554015</v>
      </c>
      <c r="U62" s="225">
        <f t="shared" si="38"/>
        <v>6.6934057096903903</v>
      </c>
      <c r="V62" s="225">
        <f t="shared" si="38"/>
        <v>6.6986748216106013</v>
      </c>
      <c r="W62" s="225">
        <f t="shared" si="38"/>
        <v>6.6582330136706798</v>
      </c>
      <c r="X62" s="225">
        <f t="shared" ref="X62:Y62" si="39">AVERAGE(X60/X61)</f>
        <v>6.583384869099155</v>
      </c>
      <c r="Y62" s="225">
        <f t="shared" si="39"/>
        <v>6.4296875</v>
      </c>
      <c r="Z62" s="225">
        <f t="shared" ref="Z62:AA62" si="40">AVERAGE(Z60/Z61)</f>
        <v>6.7349319507453016</v>
      </c>
      <c r="AA62" s="225">
        <f t="shared" si="40"/>
        <v>8.6261160714285712</v>
      </c>
      <c r="AB62" s="225">
        <f t="shared" ref="AB62:AC62" si="41">AVERAGE(AB60/AB61)</f>
        <v>8.5515251442704034</v>
      </c>
      <c r="AC62" s="225">
        <f t="shared" si="41"/>
        <v>8.5490948985189252</v>
      </c>
      <c r="AD62"/>
      <c r="AE62"/>
      <c r="AF62"/>
    </row>
    <row r="63" spans="1:35" x14ac:dyDescent="0.25">
      <c r="B63" s="410" t="s">
        <v>14</v>
      </c>
      <c r="C63" s="135" t="s">
        <v>10</v>
      </c>
      <c r="D63" s="219">
        <f>SUM(D57-D60)</f>
        <v>954740.25</v>
      </c>
      <c r="E63" s="191">
        <f t="shared" ref="E63:L64" si="42">SUM(E57-E60)</f>
        <v>940057.25</v>
      </c>
      <c r="F63" s="191">
        <f t="shared" si="42"/>
        <v>925393.75</v>
      </c>
      <c r="G63" s="191">
        <f t="shared" si="42"/>
        <v>914086</v>
      </c>
      <c r="H63" s="191">
        <f t="shared" si="42"/>
        <v>910715</v>
      </c>
      <c r="I63" s="191">
        <f t="shared" si="42"/>
        <v>886116</v>
      </c>
      <c r="J63" s="191">
        <f t="shared" si="42"/>
        <v>854972</v>
      </c>
      <c r="K63" s="191">
        <f t="shared" si="42"/>
        <v>825785</v>
      </c>
      <c r="L63" s="191">
        <f t="shared" si="42"/>
        <v>791179.25</v>
      </c>
      <c r="M63" s="191">
        <v>760397.5</v>
      </c>
      <c r="N63" s="191">
        <v>736776.25</v>
      </c>
      <c r="O63" s="191">
        <v>714092.75</v>
      </c>
      <c r="P63" s="192">
        <v>694271</v>
      </c>
      <c r="Q63" s="192">
        <v>673992.75</v>
      </c>
      <c r="R63" s="192">
        <v>658250</v>
      </c>
      <c r="S63" s="193">
        <v>648772</v>
      </c>
      <c r="T63" s="193">
        <v>644937</v>
      </c>
      <c r="U63" s="193">
        <v>645347</v>
      </c>
      <c r="V63" s="193">
        <v>649712</v>
      </c>
      <c r="W63" s="194">
        <v>650590</v>
      </c>
      <c r="X63" s="194">
        <v>653227</v>
      </c>
      <c r="Y63" s="194">
        <v>660247</v>
      </c>
      <c r="Z63" s="194">
        <v>668764</v>
      </c>
      <c r="AA63" s="194">
        <v>683890</v>
      </c>
      <c r="AB63" s="194">
        <v>693138</v>
      </c>
      <c r="AC63" s="194">
        <v>701326</v>
      </c>
      <c r="AD63"/>
      <c r="AE63"/>
      <c r="AF63"/>
    </row>
    <row r="64" spans="1:35" x14ac:dyDescent="0.25">
      <c r="B64" s="408"/>
      <c r="C64" s="132" t="s">
        <v>11</v>
      </c>
      <c r="D64" s="203">
        <f>SUM(D58-D61)</f>
        <v>65085.75</v>
      </c>
      <c r="E64" s="174">
        <f t="shared" si="42"/>
        <v>63529</v>
      </c>
      <c r="F64" s="174">
        <f t="shared" si="42"/>
        <v>64006.5</v>
      </c>
      <c r="G64" s="174">
        <f t="shared" si="42"/>
        <v>63271.5</v>
      </c>
      <c r="H64" s="174">
        <f t="shared" si="42"/>
        <v>63303.25</v>
      </c>
      <c r="I64" s="174">
        <f t="shared" si="42"/>
        <v>61276</v>
      </c>
      <c r="J64" s="174">
        <f t="shared" si="42"/>
        <v>59878</v>
      </c>
      <c r="K64" s="174">
        <f t="shared" si="42"/>
        <v>58531</v>
      </c>
      <c r="L64" s="174">
        <f t="shared" si="42"/>
        <v>53688.5</v>
      </c>
      <c r="M64" s="174">
        <v>53327</v>
      </c>
      <c r="N64" s="174">
        <v>53186.75</v>
      </c>
      <c r="O64" s="174">
        <v>52880.75</v>
      </c>
      <c r="P64" s="175">
        <v>52490.5</v>
      </c>
      <c r="Q64" s="175">
        <v>51562</v>
      </c>
      <c r="R64" s="175">
        <v>50353</v>
      </c>
      <c r="S64" s="176">
        <v>49442</v>
      </c>
      <c r="T64" s="176">
        <v>49281</v>
      </c>
      <c r="U64" s="176">
        <v>48840</v>
      </c>
      <c r="V64" s="176">
        <v>48968</v>
      </c>
      <c r="W64" s="177">
        <v>49036</v>
      </c>
      <c r="X64" s="177">
        <v>49135</v>
      </c>
      <c r="Y64" s="177">
        <v>49445</v>
      </c>
      <c r="Z64" s="177">
        <v>50372</v>
      </c>
      <c r="AA64" s="177">
        <v>50476</v>
      </c>
      <c r="AB64" s="177">
        <v>51078</v>
      </c>
      <c r="AC64" s="177">
        <v>51685</v>
      </c>
      <c r="AD64"/>
      <c r="AE64"/>
      <c r="AF64"/>
      <c r="AI64" s="4"/>
    </row>
    <row r="65" spans="2:32" ht="15.75" thickBot="1" x14ac:dyDescent="0.3">
      <c r="B65" s="411"/>
      <c r="C65" s="220" t="s">
        <v>12</v>
      </c>
      <c r="D65" s="204">
        <f t="shared" ref="D65:L65" si="43">AVERAGE(D63/D64)</f>
        <v>14.668959795346908</v>
      </c>
      <c r="E65" s="179">
        <f t="shared" si="43"/>
        <v>14.797293362086606</v>
      </c>
      <c r="F65" s="179">
        <f t="shared" si="43"/>
        <v>14.457808972526228</v>
      </c>
      <c r="G65" s="179">
        <f t="shared" si="43"/>
        <v>14.447041717044799</v>
      </c>
      <c r="H65" s="179">
        <f t="shared" si="43"/>
        <v>14.386544134779809</v>
      </c>
      <c r="I65" s="179">
        <f t="shared" si="43"/>
        <v>14.461061426986095</v>
      </c>
      <c r="J65" s="179">
        <f t="shared" si="43"/>
        <v>14.278566418384047</v>
      </c>
      <c r="K65" s="179">
        <f t="shared" si="43"/>
        <v>14.108506603338402</v>
      </c>
      <c r="L65" s="179">
        <f t="shared" si="43"/>
        <v>14.736475222813079</v>
      </c>
      <c r="M65" s="179">
        <v>14.259146398634838</v>
      </c>
      <c r="N65" s="179">
        <v>13.85262776913423</v>
      </c>
      <c r="O65" s="179">
        <v>13.50383173461042</v>
      </c>
      <c r="P65" s="179">
        <v>13.226602909097837</v>
      </c>
      <c r="Q65" s="179">
        <f>AVERAGE(Q63/Q64)</f>
        <v>13.07150129940654</v>
      </c>
      <c r="R65" s="179">
        <f t="shared" ref="R65:W65" si="44">AVERAGE(R63/R64)</f>
        <v>13.072706690763212</v>
      </c>
      <c r="S65" s="180">
        <f t="shared" si="44"/>
        <v>13.121880182840499</v>
      </c>
      <c r="T65" s="180">
        <f t="shared" si="44"/>
        <v>13.086930054179096</v>
      </c>
      <c r="U65" s="180">
        <f t="shared" si="44"/>
        <v>13.213493038493038</v>
      </c>
      <c r="V65" s="180">
        <f t="shared" si="44"/>
        <v>13.268093448782878</v>
      </c>
      <c r="W65" s="180">
        <f t="shared" si="44"/>
        <v>13.267599314789134</v>
      </c>
      <c r="X65" s="180">
        <f t="shared" ref="X65:Y65" si="45">AVERAGE(X63/X64)</f>
        <v>13.294535463518876</v>
      </c>
      <c r="Y65" s="180">
        <f t="shared" si="45"/>
        <v>13.353160076853069</v>
      </c>
      <c r="Z65" s="180">
        <f t="shared" ref="Z65:AA65" si="46">AVERAGE(Z63/Z64)</f>
        <v>13.276502819026444</v>
      </c>
      <c r="AA65" s="180">
        <f t="shared" si="46"/>
        <v>13.54881527854822</v>
      </c>
      <c r="AB65" s="180">
        <f t="shared" ref="AB65:AC65" si="47">AVERAGE(AB63/AB64)</f>
        <v>13.570186773170445</v>
      </c>
      <c r="AC65" s="180">
        <f t="shared" si="47"/>
        <v>13.569236722453322</v>
      </c>
      <c r="AD65"/>
      <c r="AE65"/>
      <c r="AF65"/>
    </row>
    <row r="66" spans="2:32" x14ac:dyDescent="0.25">
      <c r="B66" s="173" t="s">
        <v>39</v>
      </c>
      <c r="C66" s="205"/>
      <c r="D66" s="200">
        <v>671706</v>
      </c>
      <c r="E66" s="116">
        <v>650966</v>
      </c>
      <c r="F66" s="116">
        <v>626645</v>
      </c>
      <c r="G66" s="116">
        <v>602360</v>
      </c>
      <c r="H66" s="116">
        <v>580791</v>
      </c>
      <c r="I66" s="116">
        <v>557328</v>
      </c>
      <c r="J66" s="116">
        <v>534147</v>
      </c>
      <c r="K66" s="116">
        <v>510510</v>
      </c>
      <c r="L66" s="116">
        <v>485018</v>
      </c>
      <c r="M66" s="181">
        <v>461715</v>
      </c>
      <c r="N66" s="181">
        <v>448371</v>
      </c>
      <c r="O66" s="181">
        <v>439675</v>
      </c>
      <c r="P66" s="181">
        <v>434477</v>
      </c>
      <c r="Q66" s="181">
        <v>430139</v>
      </c>
      <c r="R66" s="182">
        <v>427377</v>
      </c>
      <c r="S66" s="183">
        <v>425731</v>
      </c>
      <c r="T66" s="183">
        <v>427418</v>
      </c>
      <c r="U66" s="183">
        <v>433465</v>
      </c>
      <c r="V66" s="183">
        <v>440582</v>
      </c>
      <c r="W66" s="184">
        <v>447092</v>
      </c>
      <c r="X66" s="184">
        <v>454175</v>
      </c>
      <c r="Y66" s="184">
        <v>461060</v>
      </c>
      <c r="Z66" s="184">
        <v>468540</v>
      </c>
      <c r="AA66" s="184">
        <v>482426</v>
      </c>
      <c r="AB66" s="184">
        <v>489187</v>
      </c>
      <c r="AC66" s="184">
        <v>493743</v>
      </c>
      <c r="AD66"/>
      <c r="AE66"/>
      <c r="AF66"/>
    </row>
    <row r="67" spans="2:32" x14ac:dyDescent="0.25">
      <c r="B67" s="186" t="s">
        <v>40</v>
      </c>
      <c r="C67" s="206"/>
      <c r="D67" s="203">
        <f t="shared" ref="D67:W67" si="48">SUM(D63-D66)</f>
        <v>283034.25</v>
      </c>
      <c r="E67" s="174">
        <f t="shared" si="48"/>
        <v>289091.25</v>
      </c>
      <c r="F67" s="174">
        <f t="shared" si="48"/>
        <v>298748.75</v>
      </c>
      <c r="G67" s="174">
        <f t="shared" si="48"/>
        <v>311726</v>
      </c>
      <c r="H67" s="174">
        <f t="shared" si="48"/>
        <v>329924</v>
      </c>
      <c r="I67" s="174">
        <f t="shared" si="48"/>
        <v>328788</v>
      </c>
      <c r="J67" s="174">
        <f t="shared" si="48"/>
        <v>320825</v>
      </c>
      <c r="K67" s="174">
        <f t="shared" si="48"/>
        <v>315275</v>
      </c>
      <c r="L67" s="174">
        <f t="shared" si="48"/>
        <v>306161.25</v>
      </c>
      <c r="M67" s="174">
        <f t="shared" si="48"/>
        <v>298682.5</v>
      </c>
      <c r="N67" s="174">
        <f t="shared" si="48"/>
        <v>288405.25</v>
      </c>
      <c r="O67" s="174">
        <f t="shared" si="48"/>
        <v>274417.75</v>
      </c>
      <c r="P67" s="174">
        <f t="shared" si="48"/>
        <v>259794</v>
      </c>
      <c r="Q67" s="174">
        <f>SUM(Q63-Q66)</f>
        <v>243853.75</v>
      </c>
      <c r="R67" s="175">
        <f t="shared" si="48"/>
        <v>230873</v>
      </c>
      <c r="S67" s="177">
        <f t="shared" si="48"/>
        <v>223041</v>
      </c>
      <c r="T67" s="177">
        <f>SUM(T63-T66)</f>
        <v>217519</v>
      </c>
      <c r="U67" s="177">
        <f t="shared" si="48"/>
        <v>211882</v>
      </c>
      <c r="V67" s="177">
        <f t="shared" si="48"/>
        <v>209130</v>
      </c>
      <c r="W67" s="177">
        <f t="shared" si="48"/>
        <v>203498</v>
      </c>
      <c r="X67" s="177">
        <f t="shared" ref="X67:Y67" si="49">SUM(X63-X66)</f>
        <v>199052</v>
      </c>
      <c r="Y67" s="177">
        <f t="shared" si="49"/>
        <v>199187</v>
      </c>
      <c r="Z67" s="177">
        <f t="shared" ref="Z67:AA67" si="50">SUM(Z63-Z66)</f>
        <v>200224</v>
      </c>
      <c r="AA67" s="177">
        <f t="shared" si="50"/>
        <v>201464</v>
      </c>
      <c r="AB67" s="177">
        <f t="shared" ref="AB67:AC67" si="51">SUM(AB63-AB66)</f>
        <v>203951</v>
      </c>
      <c r="AC67" s="177">
        <f t="shared" si="51"/>
        <v>207583</v>
      </c>
      <c r="AD67"/>
      <c r="AE67"/>
      <c r="AF67"/>
    </row>
    <row r="68" spans="2:32" x14ac:dyDescent="0.25">
      <c r="B68" s="186" t="s">
        <v>41</v>
      </c>
      <c r="C68" s="206"/>
      <c r="D68" s="203">
        <v>24860</v>
      </c>
      <c r="E68" s="174">
        <v>25001</v>
      </c>
      <c r="F68" s="174">
        <v>25671</v>
      </c>
      <c r="G68" s="174">
        <v>25737</v>
      </c>
      <c r="H68" s="174">
        <v>25376</v>
      </c>
      <c r="I68" s="174">
        <v>25982</v>
      </c>
      <c r="J68" s="174">
        <v>24349</v>
      </c>
      <c r="K68" s="174">
        <v>25106</v>
      </c>
      <c r="L68" s="174">
        <v>28060</v>
      </c>
      <c r="M68" s="174">
        <v>28328</v>
      </c>
      <c r="N68" s="174">
        <v>28543</v>
      </c>
      <c r="O68" s="174">
        <v>28948</v>
      </c>
      <c r="P68" s="174">
        <v>28828</v>
      </c>
      <c r="Q68" s="174">
        <v>28724</v>
      </c>
      <c r="R68" s="175">
        <v>28625</v>
      </c>
      <c r="S68" s="176">
        <v>28331</v>
      </c>
      <c r="T68" s="176">
        <v>28140</v>
      </c>
      <c r="U68" s="176">
        <v>27411</v>
      </c>
      <c r="V68" s="176">
        <v>26931</v>
      </c>
      <c r="W68" s="177">
        <v>26798</v>
      </c>
      <c r="X68" s="177">
        <v>26038</v>
      </c>
      <c r="Y68" s="177">
        <v>25219</v>
      </c>
      <c r="Z68" s="177">
        <v>25078</v>
      </c>
      <c r="AA68" s="177">
        <v>25061</v>
      </c>
      <c r="AB68" s="177">
        <v>25235</v>
      </c>
      <c r="AC68" s="177">
        <v>25251</v>
      </c>
      <c r="AD68"/>
      <c r="AE68"/>
      <c r="AF68"/>
    </row>
    <row r="69" spans="2:32" ht="15.75" thickBot="1" x14ac:dyDescent="0.3">
      <c r="B69" s="187" t="s">
        <v>42</v>
      </c>
      <c r="C69" s="221"/>
      <c r="D69" s="216">
        <f>SUM(D60-D68)</f>
        <v>799</v>
      </c>
      <c r="E69" s="188">
        <f t="shared" ref="E69:Q69" si="52">SUM(E60-E68)</f>
        <v>1059</v>
      </c>
      <c r="F69" s="188">
        <f t="shared" si="52"/>
        <v>1937</v>
      </c>
      <c r="G69" s="188">
        <f t="shared" si="52"/>
        <v>2457</v>
      </c>
      <c r="H69" s="188">
        <f t="shared" si="52"/>
        <v>2721</v>
      </c>
      <c r="I69" s="188">
        <f t="shared" si="52"/>
        <v>3110</v>
      </c>
      <c r="J69" s="188">
        <f t="shared" si="52"/>
        <v>5456</v>
      </c>
      <c r="K69" s="188">
        <f t="shared" si="52"/>
        <v>5470</v>
      </c>
      <c r="L69" s="188">
        <f t="shared" si="52"/>
        <v>5438</v>
      </c>
      <c r="M69" s="188">
        <f t="shared" si="52"/>
        <v>5889</v>
      </c>
      <c r="N69" s="188">
        <f t="shared" si="52"/>
        <v>5946</v>
      </c>
      <c r="O69" s="188">
        <f t="shared" si="52"/>
        <v>6065</v>
      </c>
      <c r="P69" s="188">
        <f t="shared" si="52"/>
        <v>6095</v>
      </c>
      <c r="Q69" s="188">
        <f t="shared" si="52"/>
        <v>6126</v>
      </c>
      <c r="R69" s="188">
        <f t="shared" ref="R69:W69" si="53">SUM(R60-R68)</f>
        <v>6255</v>
      </c>
      <c r="S69" s="189">
        <f t="shared" si="53"/>
        <v>6256</v>
      </c>
      <c r="T69" s="189">
        <f t="shared" si="53"/>
        <v>5967</v>
      </c>
      <c r="U69" s="189">
        <f t="shared" si="53"/>
        <v>5882</v>
      </c>
      <c r="V69" s="189">
        <f t="shared" si="53"/>
        <v>5926</v>
      </c>
      <c r="W69" s="189">
        <f t="shared" si="53"/>
        <v>5834</v>
      </c>
      <c r="X69" s="189">
        <f t="shared" ref="X69" si="54">SUM(X60-X68)</f>
        <v>5898</v>
      </c>
      <c r="Y69" s="189">
        <f>SUM(Y60-Y68)</f>
        <v>6055</v>
      </c>
      <c r="Z69" s="189">
        <f>SUM(Z60-Z68)</f>
        <v>6098</v>
      </c>
      <c r="AA69" s="189">
        <f>SUM(AA60-AA68)</f>
        <v>5855</v>
      </c>
      <c r="AB69" s="189">
        <f>SUM(AB60-AB68)</f>
        <v>5884</v>
      </c>
      <c r="AC69" s="189">
        <f>SUM(AC60-AC68)</f>
        <v>5919</v>
      </c>
      <c r="AD69"/>
      <c r="AE69"/>
      <c r="AF69"/>
    </row>
    <row r="70" spans="2:32" x14ac:dyDescent="0.25"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X70" s="4"/>
      <c r="Y70" s="5"/>
      <c r="Z70" s="5"/>
      <c r="AA70" s="5"/>
    </row>
    <row r="71" spans="2:32" ht="20.25" x14ac:dyDescent="0.3">
      <c r="B71" s="1" t="s">
        <v>15</v>
      </c>
      <c r="C71" s="1" t="s">
        <v>1</v>
      </c>
      <c r="Q71" s="6"/>
      <c r="S71" s="4"/>
      <c r="T71" s="4"/>
      <c r="Y71" s="5"/>
      <c r="Z71" s="5"/>
      <c r="AA71" s="5"/>
    </row>
    <row r="72" spans="2:32" x14ac:dyDescent="0.25">
      <c r="B72" s="2" t="s">
        <v>16</v>
      </c>
      <c r="P72" s="6"/>
      <c r="Y72" s="5"/>
      <c r="Z72" s="5"/>
      <c r="AA72" s="5"/>
    </row>
    <row r="73" spans="2:32" ht="14.45" customHeight="1" thickBot="1" x14ac:dyDescent="0.3">
      <c r="P73" s="6"/>
      <c r="Q73" s="4"/>
      <c r="R73" s="4"/>
      <c r="AC73"/>
      <c r="AD73"/>
      <c r="AE73"/>
      <c r="AF73"/>
    </row>
    <row r="74" spans="2:32" ht="15.75" thickBot="1" x14ac:dyDescent="0.3">
      <c r="B74" s="211"/>
      <c r="C74" s="209" t="s">
        <v>8</v>
      </c>
      <c r="D74" s="201">
        <v>1999</v>
      </c>
      <c r="E74" s="196">
        <v>2000</v>
      </c>
      <c r="F74" s="196">
        <v>2001</v>
      </c>
      <c r="G74" s="196">
        <v>2002</v>
      </c>
      <c r="H74" s="196">
        <v>2003</v>
      </c>
      <c r="I74" s="196">
        <v>2004</v>
      </c>
      <c r="J74" s="196">
        <v>2005</v>
      </c>
      <c r="K74" s="196">
        <v>2006</v>
      </c>
      <c r="L74" s="196">
        <v>2007</v>
      </c>
      <c r="M74" s="196">
        <v>2008</v>
      </c>
      <c r="N74" s="196">
        <v>2009</v>
      </c>
      <c r="O74" s="196">
        <v>2010</v>
      </c>
      <c r="P74" s="197">
        <v>2011</v>
      </c>
      <c r="Q74" s="197">
        <v>2012</v>
      </c>
      <c r="R74" s="197">
        <v>2013</v>
      </c>
      <c r="S74" s="197">
        <v>2014</v>
      </c>
      <c r="T74" s="197">
        <v>2015</v>
      </c>
      <c r="U74" s="197">
        <v>2016</v>
      </c>
      <c r="V74" s="197">
        <v>2017</v>
      </c>
      <c r="W74" s="197">
        <v>2018</v>
      </c>
      <c r="X74" s="198">
        <v>2019</v>
      </c>
      <c r="Y74" s="198">
        <v>2020</v>
      </c>
      <c r="Z74" s="198">
        <v>2021</v>
      </c>
      <c r="AA74" s="198">
        <v>2022</v>
      </c>
      <c r="AB74" s="198">
        <v>2023</v>
      </c>
      <c r="AC74" s="198">
        <v>2024</v>
      </c>
      <c r="AD74"/>
      <c r="AE74"/>
      <c r="AF74"/>
    </row>
    <row r="75" spans="2:32" ht="13.9" customHeight="1" x14ac:dyDescent="0.25">
      <c r="B75" s="399" t="s">
        <v>9</v>
      </c>
      <c r="C75" s="144" t="s">
        <v>10</v>
      </c>
      <c r="D75" s="202">
        <v>991878</v>
      </c>
      <c r="E75" s="181">
        <v>975688</v>
      </c>
      <c r="F75" s="181">
        <v>963312</v>
      </c>
      <c r="G75" s="181">
        <v>951970</v>
      </c>
      <c r="H75" s="181">
        <v>949036</v>
      </c>
      <c r="I75" s="181">
        <v>924970</v>
      </c>
      <c r="J75" s="181">
        <v>893822</v>
      </c>
      <c r="K75" s="181">
        <v>864611</v>
      </c>
      <c r="L75" s="181">
        <v>832985</v>
      </c>
      <c r="M75" s="181">
        <v>802959</v>
      </c>
      <c r="N75" s="181">
        <v>779804</v>
      </c>
      <c r="O75" s="181">
        <v>758045</v>
      </c>
      <c r="P75" s="182">
        <v>737864</v>
      </c>
      <c r="Q75" s="182">
        <f>SUM(Q81,Q78)</f>
        <v>716543</v>
      </c>
      <c r="R75" s="182">
        <f>SUM(R81,R78)</f>
        <v>700551</v>
      </c>
      <c r="S75" s="183">
        <f>SUM(S81,S78)</f>
        <v>690543</v>
      </c>
      <c r="T75" s="183">
        <f t="shared" ref="T75:V75" si="55">SUM(T81,T78)</f>
        <v>686319</v>
      </c>
      <c r="U75" s="183">
        <f t="shared" si="55"/>
        <v>686036</v>
      </c>
      <c r="V75" s="183">
        <f t="shared" si="55"/>
        <v>690248</v>
      </c>
      <c r="W75" s="184">
        <f t="shared" ref="W75:X75" si="56">SUM(W81,W78)</f>
        <v>690861</v>
      </c>
      <c r="X75" s="184">
        <f t="shared" si="56"/>
        <v>692989</v>
      </c>
      <c r="Y75" s="184">
        <f t="shared" ref="Y75:Z75" si="57">SUM(Y81,Y78)</f>
        <v>699641</v>
      </c>
      <c r="Z75" s="184">
        <f t="shared" si="57"/>
        <v>708282</v>
      </c>
      <c r="AA75" s="184">
        <f t="shared" ref="AA75:AB75" si="58">SUM(AA81,AA78)</f>
        <v>722958</v>
      </c>
      <c r="AB75" s="184">
        <f t="shared" si="58"/>
        <v>732578</v>
      </c>
      <c r="AC75" s="184">
        <f t="shared" ref="AC75" si="59">SUM(AC81,AC78)</f>
        <v>741062</v>
      </c>
      <c r="AD75"/>
      <c r="AE75"/>
      <c r="AF75"/>
    </row>
    <row r="76" spans="2:32" x14ac:dyDescent="0.25">
      <c r="B76" s="399"/>
      <c r="C76" s="132" t="s">
        <v>11</v>
      </c>
      <c r="D76" s="203">
        <v>69141.75</v>
      </c>
      <c r="E76" s="174">
        <v>67538.75</v>
      </c>
      <c r="F76" s="174">
        <v>68277</v>
      </c>
      <c r="G76" s="174">
        <v>67643.25</v>
      </c>
      <c r="H76" s="174">
        <v>67733.5</v>
      </c>
      <c r="I76" s="174">
        <v>65694.25</v>
      </c>
      <c r="J76" s="174">
        <v>64306.75</v>
      </c>
      <c r="K76" s="174">
        <v>62862.25</v>
      </c>
      <c r="L76" s="174">
        <v>58194</v>
      </c>
      <c r="M76" s="174">
        <v>58103.5</v>
      </c>
      <c r="N76" s="174">
        <v>58171.5</v>
      </c>
      <c r="O76" s="174">
        <v>57876.5</v>
      </c>
      <c r="P76" s="175">
        <v>57248.25</v>
      </c>
      <c r="Q76" s="175">
        <f>SUM(Q82,Q79)</f>
        <v>56532.75</v>
      </c>
      <c r="R76" s="175">
        <f>SUM(R82,R79)</f>
        <v>55276</v>
      </c>
      <c r="S76" s="176">
        <f t="shared" ref="S76:V76" si="60">SUM(S82,S79)</f>
        <v>54429</v>
      </c>
      <c r="T76" s="176">
        <f t="shared" si="60"/>
        <v>54326</v>
      </c>
      <c r="U76" s="176">
        <f t="shared" si="60"/>
        <v>53814</v>
      </c>
      <c r="V76" s="176">
        <f t="shared" si="60"/>
        <v>53873</v>
      </c>
      <c r="W76" s="177">
        <f t="shared" ref="W76:X76" si="61">SUM(W82,W79)</f>
        <v>53937</v>
      </c>
      <c r="X76" s="177">
        <f t="shared" si="61"/>
        <v>53986</v>
      </c>
      <c r="Y76" s="177">
        <f>SUM(Y82,Y79)</f>
        <v>54309</v>
      </c>
      <c r="Z76" s="177">
        <f>SUM(Z82,Z79)</f>
        <v>55001</v>
      </c>
      <c r="AA76" s="177">
        <f>SUM(AA82,AA79)</f>
        <v>54060</v>
      </c>
      <c r="AB76" s="177">
        <f>SUM(AB82,AB79)</f>
        <v>54717</v>
      </c>
      <c r="AC76" s="177">
        <f>SUM(AC82,AC79)</f>
        <v>55331</v>
      </c>
      <c r="AD76"/>
      <c r="AE76" s="24"/>
      <c r="AF76"/>
    </row>
    <row r="77" spans="2:32" ht="15.75" thickBot="1" x14ac:dyDescent="0.3">
      <c r="B77" s="400"/>
      <c r="C77" s="222" t="s">
        <v>12</v>
      </c>
      <c r="D77" s="223">
        <f t="shared" ref="D77:L77" si="62">AVERAGE(D75/D76)</f>
        <v>14.345572682207205</v>
      </c>
      <c r="E77" s="224">
        <f t="shared" si="62"/>
        <v>14.446343765616035</v>
      </c>
      <c r="F77" s="224">
        <f t="shared" si="62"/>
        <v>14.108880003515093</v>
      </c>
      <c r="G77" s="224">
        <f t="shared" si="62"/>
        <v>14.073392393180399</v>
      </c>
      <c r="H77" s="224">
        <f t="shared" si="62"/>
        <v>14.011323791033979</v>
      </c>
      <c r="I77" s="224">
        <f t="shared" si="62"/>
        <v>14.079923280956857</v>
      </c>
      <c r="J77" s="224">
        <f t="shared" si="62"/>
        <v>13.899349601713661</v>
      </c>
      <c r="K77" s="224">
        <f t="shared" si="62"/>
        <v>13.75405748282952</v>
      </c>
      <c r="L77" s="224">
        <f t="shared" si="62"/>
        <v>14.313932707839296</v>
      </c>
      <c r="M77" s="224">
        <v>13.819460101370829</v>
      </c>
      <c r="N77" s="224">
        <v>13.405258588827863</v>
      </c>
      <c r="O77" s="224">
        <v>13.09763029899873</v>
      </c>
      <c r="P77" s="224">
        <v>12.888848130728887</v>
      </c>
      <c r="Q77" s="224">
        <f>AVERAGE(Q75/Q76)</f>
        <v>12.674830076371661</v>
      </c>
      <c r="R77" s="224">
        <f t="shared" ref="R77" si="63">AVERAGE(R75/R76)</f>
        <v>12.673692018235762</v>
      </c>
      <c r="S77" s="225">
        <f t="shared" ref="S77" si="64">AVERAGE(S75/S76)</f>
        <v>12.687041834316265</v>
      </c>
      <c r="T77" s="225">
        <f t="shared" ref="T77" si="65">AVERAGE(T75/T76)</f>
        <v>12.633343150609285</v>
      </c>
      <c r="U77" s="225">
        <f t="shared" ref="U77" si="66">AVERAGE(U75/U76)</f>
        <v>12.748281116438102</v>
      </c>
      <c r="V77" s="225">
        <f t="shared" ref="V77:W77" si="67">AVERAGE(V75/V76)</f>
        <v>12.812503480407626</v>
      </c>
      <c r="W77" s="225">
        <f t="shared" si="67"/>
        <v>12.808665665498637</v>
      </c>
      <c r="X77" s="225">
        <f t="shared" ref="X77:Y77" si="68">AVERAGE(X75/X76)</f>
        <v>12.83645760011855</v>
      </c>
      <c r="Y77" s="225">
        <f t="shared" si="68"/>
        <v>12.882597727816753</v>
      </c>
      <c r="Z77" s="225">
        <f t="shared" ref="Z77:AA77" si="69">AVERAGE(Z75/Z76)</f>
        <v>12.877620406901693</v>
      </c>
      <c r="AA77" s="225">
        <f t="shared" si="69"/>
        <v>13.373251942286348</v>
      </c>
      <c r="AB77" s="225">
        <f t="shared" ref="AB77:AC77" si="70">AVERAGE(AB75/AB76)</f>
        <v>13.388489866037977</v>
      </c>
      <c r="AC77" s="225">
        <f t="shared" si="70"/>
        <v>13.39325152265457</v>
      </c>
      <c r="AD77"/>
      <c r="AE77"/>
      <c r="AF77"/>
    </row>
    <row r="78" spans="2:32" ht="14.45" customHeight="1" thickTop="1" x14ac:dyDescent="0.25">
      <c r="B78" s="401" t="s">
        <v>13</v>
      </c>
      <c r="C78" s="164" t="s">
        <v>10</v>
      </c>
      <c r="D78" s="226">
        <v>25659</v>
      </c>
      <c r="E78" s="227">
        <v>26060</v>
      </c>
      <c r="F78" s="227">
        <v>27608</v>
      </c>
      <c r="G78" s="227">
        <v>28194</v>
      </c>
      <c r="H78" s="227">
        <v>28097</v>
      </c>
      <c r="I78" s="227">
        <v>29092</v>
      </c>
      <c r="J78" s="227">
        <v>29805</v>
      </c>
      <c r="K78" s="227">
        <v>30576</v>
      </c>
      <c r="L78" s="227">
        <v>33498</v>
      </c>
      <c r="M78" s="227">
        <v>34217</v>
      </c>
      <c r="N78" s="227">
        <v>34489</v>
      </c>
      <c r="O78" s="227">
        <v>35013</v>
      </c>
      <c r="P78" s="228">
        <v>34923</v>
      </c>
      <c r="Q78" s="228">
        <v>34850</v>
      </c>
      <c r="R78" s="228">
        <v>34880</v>
      </c>
      <c r="S78" s="229">
        <v>34587</v>
      </c>
      <c r="T78" s="229">
        <v>34107</v>
      </c>
      <c r="U78" s="229">
        <v>33293</v>
      </c>
      <c r="V78" s="229">
        <v>32857</v>
      </c>
      <c r="W78" s="230">
        <v>32632</v>
      </c>
      <c r="X78" s="230">
        <v>31936</v>
      </c>
      <c r="Y78" s="230">
        <v>31274</v>
      </c>
      <c r="Z78" s="230">
        <v>31176</v>
      </c>
      <c r="AA78" s="230">
        <v>30916</v>
      </c>
      <c r="AB78" s="230">
        <v>31119</v>
      </c>
      <c r="AC78" s="230">
        <v>31170</v>
      </c>
      <c r="AD78"/>
      <c r="AE78" s="24"/>
      <c r="AF78"/>
    </row>
    <row r="79" spans="2:32" x14ac:dyDescent="0.25">
      <c r="B79" s="402"/>
      <c r="C79" s="132" t="s">
        <v>11</v>
      </c>
      <c r="D79" s="203">
        <v>4056</v>
      </c>
      <c r="E79" s="174">
        <v>4009.75</v>
      </c>
      <c r="F79" s="174">
        <v>4270.5</v>
      </c>
      <c r="G79" s="174">
        <v>4371.75</v>
      </c>
      <c r="H79" s="174">
        <v>4430.25</v>
      </c>
      <c r="I79" s="174">
        <v>4418.25</v>
      </c>
      <c r="J79" s="174">
        <v>4428.75</v>
      </c>
      <c r="K79" s="174">
        <v>4331.25</v>
      </c>
      <c r="L79" s="174">
        <v>4505.5</v>
      </c>
      <c r="M79" s="174">
        <v>4776.5</v>
      </c>
      <c r="N79" s="174">
        <v>4984.75</v>
      </c>
      <c r="O79" s="174">
        <v>4995.75</v>
      </c>
      <c r="P79" s="175">
        <v>4757.75</v>
      </c>
      <c r="Q79" s="175">
        <v>4970.75</v>
      </c>
      <c r="R79" s="175">
        <v>4923</v>
      </c>
      <c r="S79" s="176">
        <v>4987</v>
      </c>
      <c r="T79" s="176">
        <v>5045</v>
      </c>
      <c r="U79" s="176">
        <f>U61</f>
        <v>4974</v>
      </c>
      <c r="V79" s="176">
        <v>4905</v>
      </c>
      <c r="W79" s="177">
        <v>4901</v>
      </c>
      <c r="X79" s="177">
        <v>4851</v>
      </c>
      <c r="Y79" s="177">
        <f>4864</f>
        <v>4864</v>
      </c>
      <c r="Z79" s="177">
        <v>4629</v>
      </c>
      <c r="AA79" s="177">
        <v>3584</v>
      </c>
      <c r="AB79" s="177">
        <v>3639</v>
      </c>
      <c r="AC79" s="177">
        <v>3646</v>
      </c>
      <c r="AD79"/>
      <c r="AE79"/>
      <c r="AF79"/>
    </row>
    <row r="80" spans="2:32" ht="15.75" thickBot="1" x14ac:dyDescent="0.3">
      <c r="B80" s="403"/>
      <c r="C80" s="222" t="s">
        <v>12</v>
      </c>
      <c r="D80" s="223">
        <f t="shared" ref="D80:L80" si="71">AVERAGE(D78/D79)</f>
        <v>6.3261834319526624</v>
      </c>
      <c r="E80" s="224">
        <f t="shared" si="71"/>
        <v>6.4991583016397527</v>
      </c>
      <c r="F80" s="224">
        <f t="shared" si="71"/>
        <v>6.4648167661866296</v>
      </c>
      <c r="G80" s="224">
        <f t="shared" si="71"/>
        <v>6.4491336421341572</v>
      </c>
      <c r="H80" s="224">
        <f t="shared" si="71"/>
        <v>6.342080018057672</v>
      </c>
      <c r="I80" s="224">
        <f t="shared" si="71"/>
        <v>6.5845074407287951</v>
      </c>
      <c r="J80" s="224">
        <f t="shared" si="71"/>
        <v>6.7298899237933956</v>
      </c>
      <c r="K80" s="224">
        <f t="shared" si="71"/>
        <v>7.0593939393939396</v>
      </c>
      <c r="L80" s="224">
        <f t="shared" si="71"/>
        <v>7.4349128842525802</v>
      </c>
      <c r="M80" s="224">
        <v>7.1636135245472623</v>
      </c>
      <c r="N80" s="224">
        <v>6.91890265309193</v>
      </c>
      <c r="O80" s="224">
        <v>7.00855727368263</v>
      </c>
      <c r="P80" s="224">
        <v>7.340234354474279</v>
      </c>
      <c r="Q80" s="224">
        <f>AVERAGE(Q78/Q79)</f>
        <v>7.0110144344414831</v>
      </c>
      <c r="R80" s="224">
        <f t="shared" ref="R80" si="72">AVERAGE(R78/R79)</f>
        <v>7.0851107048547632</v>
      </c>
      <c r="S80" s="225">
        <f t="shared" ref="S80" si="73">AVERAGE(S78/S79)</f>
        <v>6.9354321235211547</v>
      </c>
      <c r="T80" s="225">
        <f t="shared" ref="T80" si="74">AVERAGE(T78/T79)</f>
        <v>6.7605550049554015</v>
      </c>
      <c r="U80" s="225">
        <f t="shared" ref="U80" si="75">AVERAGE(U78/U79)</f>
        <v>6.6934057096903903</v>
      </c>
      <c r="V80" s="225">
        <f t="shared" ref="V80:W80" si="76">AVERAGE(V78/V79)</f>
        <v>6.6986748216106013</v>
      </c>
      <c r="W80" s="225">
        <f t="shared" si="76"/>
        <v>6.6582330136706798</v>
      </c>
      <c r="X80" s="225">
        <f t="shared" ref="X80:Y80" si="77">AVERAGE(X78/X79)</f>
        <v>6.583384869099155</v>
      </c>
      <c r="Y80" s="225">
        <f t="shared" si="77"/>
        <v>6.4296875</v>
      </c>
      <c r="Z80" s="225">
        <f t="shared" ref="Z80:AA80" si="78">AVERAGE(Z78/Z79)</f>
        <v>6.7349319507453016</v>
      </c>
      <c r="AA80" s="225">
        <f t="shared" si="78"/>
        <v>8.6261160714285712</v>
      </c>
      <c r="AB80" s="225">
        <f t="shared" ref="AB80:AC80" si="79">AVERAGE(AB78/AB79)</f>
        <v>8.5515251442704034</v>
      </c>
      <c r="AC80" s="225">
        <f t="shared" si="79"/>
        <v>8.5490948985189252</v>
      </c>
      <c r="AD80"/>
      <c r="AE80"/>
      <c r="AF80"/>
    </row>
    <row r="81" spans="2:37" ht="14.45" customHeight="1" thickTop="1" x14ac:dyDescent="0.25">
      <c r="B81" s="402" t="s">
        <v>14</v>
      </c>
      <c r="C81" s="232" t="s">
        <v>10</v>
      </c>
      <c r="D81" s="219">
        <f>SUM(D75-D78)</f>
        <v>966219</v>
      </c>
      <c r="E81" s="191">
        <f t="shared" ref="E81:L82" si="80">SUM(E75-E78)</f>
        <v>949628</v>
      </c>
      <c r="F81" s="191">
        <f t="shared" si="80"/>
        <v>935704</v>
      </c>
      <c r="G81" s="191">
        <f t="shared" si="80"/>
        <v>923776</v>
      </c>
      <c r="H81" s="191">
        <f t="shared" si="80"/>
        <v>920939</v>
      </c>
      <c r="I81" s="191">
        <f t="shared" si="80"/>
        <v>895878</v>
      </c>
      <c r="J81" s="191">
        <f t="shared" si="80"/>
        <v>864017</v>
      </c>
      <c r="K81" s="191">
        <f t="shared" si="80"/>
        <v>834035</v>
      </c>
      <c r="L81" s="191">
        <f t="shared" si="80"/>
        <v>799487</v>
      </c>
      <c r="M81" s="191">
        <v>768742</v>
      </c>
      <c r="N81" s="191">
        <v>745315</v>
      </c>
      <c r="O81" s="191">
        <v>723032</v>
      </c>
      <c r="P81" s="192">
        <v>702941</v>
      </c>
      <c r="Q81" s="192">
        <v>681693</v>
      </c>
      <c r="R81" s="192">
        <v>665671</v>
      </c>
      <c r="S81" s="193">
        <v>655956</v>
      </c>
      <c r="T81" s="193">
        <v>652212</v>
      </c>
      <c r="U81" s="193">
        <v>652743</v>
      </c>
      <c r="V81" s="193">
        <v>657391</v>
      </c>
      <c r="W81" s="194">
        <v>658229</v>
      </c>
      <c r="X81" s="194">
        <v>661053</v>
      </c>
      <c r="Y81" s="194">
        <v>668367</v>
      </c>
      <c r="Z81" s="194">
        <v>677106</v>
      </c>
      <c r="AA81" s="194">
        <v>692042</v>
      </c>
      <c r="AB81" s="194">
        <v>701459</v>
      </c>
      <c r="AC81" s="194">
        <v>709892</v>
      </c>
      <c r="AD81"/>
      <c r="AE81" s="24"/>
      <c r="AF81"/>
    </row>
    <row r="82" spans="2:37" x14ac:dyDescent="0.25">
      <c r="B82" s="402"/>
      <c r="C82" s="208" t="s">
        <v>11</v>
      </c>
      <c r="D82" s="203">
        <f>SUM(D76-D79)</f>
        <v>65085.75</v>
      </c>
      <c r="E82" s="174">
        <f t="shared" si="80"/>
        <v>63529</v>
      </c>
      <c r="F82" s="174">
        <f t="shared" si="80"/>
        <v>64006.5</v>
      </c>
      <c r="G82" s="174">
        <f t="shared" si="80"/>
        <v>63271.5</v>
      </c>
      <c r="H82" s="174">
        <f t="shared" si="80"/>
        <v>63303.25</v>
      </c>
      <c r="I82" s="174">
        <f t="shared" si="80"/>
        <v>61276</v>
      </c>
      <c r="J82" s="174">
        <f t="shared" si="80"/>
        <v>59878</v>
      </c>
      <c r="K82" s="174">
        <f t="shared" si="80"/>
        <v>58531</v>
      </c>
      <c r="L82" s="174">
        <f t="shared" si="80"/>
        <v>53688.5</v>
      </c>
      <c r="M82" s="174">
        <v>53327</v>
      </c>
      <c r="N82" s="174">
        <v>53186.75</v>
      </c>
      <c r="O82" s="174">
        <v>52880.75</v>
      </c>
      <c r="P82" s="175">
        <v>52490.5</v>
      </c>
      <c r="Q82" s="175">
        <v>51562</v>
      </c>
      <c r="R82" s="175">
        <v>50353</v>
      </c>
      <c r="S82" s="176">
        <v>49442</v>
      </c>
      <c r="T82" s="176">
        <v>49281</v>
      </c>
      <c r="U82" s="176">
        <f>U64</f>
        <v>48840</v>
      </c>
      <c r="V82" s="176">
        <v>48968</v>
      </c>
      <c r="W82" s="177">
        <v>49036</v>
      </c>
      <c r="X82" s="177">
        <v>49135</v>
      </c>
      <c r="Y82" s="177">
        <v>49445</v>
      </c>
      <c r="Z82" s="177">
        <v>50372</v>
      </c>
      <c r="AA82" s="177">
        <v>50476</v>
      </c>
      <c r="AB82" s="177">
        <v>51078</v>
      </c>
      <c r="AC82" s="177">
        <v>51685</v>
      </c>
      <c r="AD82"/>
      <c r="AE82"/>
      <c r="AF82"/>
    </row>
    <row r="83" spans="2:37" ht="15.75" thickBot="1" x14ac:dyDescent="0.3">
      <c r="B83" s="404"/>
      <c r="C83" s="210" t="s">
        <v>12</v>
      </c>
      <c r="D83" s="204">
        <f t="shared" ref="D83:L83" si="81">AVERAGE(D81/D82)</f>
        <v>14.845323285050876</v>
      </c>
      <c r="E83" s="179">
        <f t="shared" si="81"/>
        <v>14.947945032977065</v>
      </c>
      <c r="F83" s="179">
        <f t="shared" si="81"/>
        <v>14.61889026895706</v>
      </c>
      <c r="G83" s="179">
        <f t="shared" si="81"/>
        <v>14.600191239341568</v>
      </c>
      <c r="H83" s="179">
        <f t="shared" si="81"/>
        <v>14.548052430167488</v>
      </c>
      <c r="I83" s="179">
        <f t="shared" si="81"/>
        <v>14.620373392519094</v>
      </c>
      <c r="J83" s="179">
        <f t="shared" si="81"/>
        <v>14.429623567921441</v>
      </c>
      <c r="K83" s="179">
        <f t="shared" si="81"/>
        <v>14.249457552408126</v>
      </c>
      <c r="L83" s="179">
        <f t="shared" si="81"/>
        <v>14.891215064678656</v>
      </c>
      <c r="M83" s="179">
        <v>14.415624355392202</v>
      </c>
      <c r="N83" s="179">
        <v>14.013170573498099</v>
      </c>
      <c r="O83" s="179">
        <v>13.67287718120488</v>
      </c>
      <c r="P83" s="179">
        <v>13.391775654642268</v>
      </c>
      <c r="Q83" s="179">
        <f>AVERAGE(Q81/Q82)</f>
        <v>13.220840929366588</v>
      </c>
      <c r="R83" s="179">
        <f t="shared" ref="R83" si="82">AVERAGE(R81/R82)</f>
        <v>13.220086191488095</v>
      </c>
      <c r="S83" s="180">
        <f t="shared" ref="S83" si="83">AVERAGE(S81/S82)</f>
        <v>13.267181748311152</v>
      </c>
      <c r="T83" s="180">
        <f t="shared" ref="T83" si="84">AVERAGE(T81/T82)</f>
        <v>13.234552870274548</v>
      </c>
      <c r="U83" s="180">
        <f t="shared" ref="U83" si="85">AVERAGE(U81/U82)</f>
        <v>13.36492628992629</v>
      </c>
      <c r="V83" s="180">
        <f t="shared" ref="V83:W83" si="86">AVERAGE(V81/V82)</f>
        <v>13.424910145401078</v>
      </c>
      <c r="W83" s="180">
        <f t="shared" si="86"/>
        <v>13.423382820784729</v>
      </c>
      <c r="X83" s="180">
        <f t="shared" ref="X83:Y83" si="87">AVERAGE(X81/X82)</f>
        <v>13.453810929072961</v>
      </c>
      <c r="Y83" s="180">
        <f t="shared" si="87"/>
        <v>13.517382950753362</v>
      </c>
      <c r="Z83" s="180">
        <f t="shared" ref="Z83:AA83" si="88">AVERAGE(Z81/Z82)</f>
        <v>13.442110696418645</v>
      </c>
      <c r="AA83" s="180">
        <f t="shared" si="88"/>
        <v>13.710317774784055</v>
      </c>
      <c r="AB83" s="180">
        <f t="shared" ref="AB83:AC83" si="89">AVERAGE(AB81/AB82)</f>
        <v>13.733094482947649</v>
      </c>
      <c r="AC83" s="180">
        <f t="shared" si="89"/>
        <v>13.734971461739383</v>
      </c>
      <c r="AD83"/>
      <c r="AE83"/>
      <c r="AF83"/>
    </row>
    <row r="84" spans="2:37" x14ac:dyDescent="0.25">
      <c r="B84" s="212" t="s">
        <v>39</v>
      </c>
      <c r="C84" s="207"/>
      <c r="D84" s="200">
        <v>671706</v>
      </c>
      <c r="E84" s="116">
        <v>650966</v>
      </c>
      <c r="F84" s="116">
        <v>626645</v>
      </c>
      <c r="G84" s="116">
        <v>602360</v>
      </c>
      <c r="H84" s="116">
        <v>580791</v>
      </c>
      <c r="I84" s="116">
        <v>557328</v>
      </c>
      <c r="J84" s="116">
        <v>534147</v>
      </c>
      <c r="K84" s="116">
        <v>510510</v>
      </c>
      <c r="L84" s="116">
        <v>485018</v>
      </c>
      <c r="M84" s="181">
        <v>461715</v>
      </c>
      <c r="N84" s="181">
        <v>448371</v>
      </c>
      <c r="O84" s="181">
        <v>439675</v>
      </c>
      <c r="P84" s="181">
        <v>434477</v>
      </c>
      <c r="Q84" s="181">
        <v>430139</v>
      </c>
      <c r="R84" s="182">
        <v>427377</v>
      </c>
      <c r="S84" s="183">
        <v>425731</v>
      </c>
      <c r="T84" s="183">
        <v>427418</v>
      </c>
      <c r="U84" s="183">
        <f>U66</f>
        <v>433465</v>
      </c>
      <c r="V84" s="183">
        <v>440582</v>
      </c>
      <c r="W84" s="184">
        <v>447092</v>
      </c>
      <c r="X84" s="184">
        <v>454175</v>
      </c>
      <c r="Y84" s="184">
        <v>461060</v>
      </c>
      <c r="Z84" s="184">
        <v>468540</v>
      </c>
      <c r="AA84" s="184">
        <v>482426</v>
      </c>
      <c r="AB84" s="184">
        <v>489187</v>
      </c>
      <c r="AC84" s="184">
        <v>493743</v>
      </c>
      <c r="AD84"/>
      <c r="AE84" s="24"/>
      <c r="AF84"/>
    </row>
    <row r="85" spans="2:37" x14ac:dyDescent="0.25">
      <c r="B85" s="213" t="s">
        <v>40</v>
      </c>
      <c r="C85" s="208"/>
      <c r="D85" s="203">
        <f>SUM(D81-D84)</f>
        <v>294513</v>
      </c>
      <c r="E85" s="174">
        <f t="shared" ref="E85:W85" si="90">SUM(E81-E84)</f>
        <v>298662</v>
      </c>
      <c r="F85" s="174">
        <f t="shared" si="90"/>
        <v>309059</v>
      </c>
      <c r="G85" s="174">
        <f t="shared" si="90"/>
        <v>321416</v>
      </c>
      <c r="H85" s="174">
        <f t="shared" si="90"/>
        <v>340148</v>
      </c>
      <c r="I85" s="174">
        <f t="shared" si="90"/>
        <v>338550</v>
      </c>
      <c r="J85" s="174">
        <f t="shared" si="90"/>
        <v>329870</v>
      </c>
      <c r="K85" s="174">
        <f t="shared" si="90"/>
        <v>323525</v>
      </c>
      <c r="L85" s="174">
        <f t="shared" si="90"/>
        <v>314469</v>
      </c>
      <c r="M85" s="174">
        <f t="shared" si="90"/>
        <v>307027</v>
      </c>
      <c r="N85" s="174">
        <f t="shared" si="90"/>
        <v>296944</v>
      </c>
      <c r="O85" s="174">
        <f t="shared" si="90"/>
        <v>283357</v>
      </c>
      <c r="P85" s="174">
        <f t="shared" si="90"/>
        <v>268464</v>
      </c>
      <c r="Q85" s="174">
        <f t="shared" si="90"/>
        <v>251554</v>
      </c>
      <c r="R85" s="175">
        <f t="shared" si="90"/>
        <v>238294</v>
      </c>
      <c r="S85" s="176">
        <f t="shared" si="90"/>
        <v>230225</v>
      </c>
      <c r="T85" s="176">
        <f t="shared" si="90"/>
        <v>224794</v>
      </c>
      <c r="U85" s="176">
        <f t="shared" si="90"/>
        <v>219278</v>
      </c>
      <c r="V85" s="176">
        <f t="shared" si="90"/>
        <v>216809</v>
      </c>
      <c r="W85" s="177">
        <f t="shared" si="90"/>
        <v>211137</v>
      </c>
      <c r="X85" s="177">
        <f t="shared" ref="X85" si="91">SUM(X81-X84)</f>
        <v>206878</v>
      </c>
      <c r="Y85" s="177">
        <f>SUM(Y81-Y84)</f>
        <v>207307</v>
      </c>
      <c r="Z85" s="177">
        <f>SUM(Z81-Z84)</f>
        <v>208566</v>
      </c>
      <c r="AA85" s="177">
        <f>SUM(AA81-AA84)</f>
        <v>209616</v>
      </c>
      <c r="AB85" s="177">
        <f>SUM(AB81-AB84)</f>
        <v>212272</v>
      </c>
      <c r="AC85" s="177">
        <f>SUM(AC81-AC84)</f>
        <v>216149</v>
      </c>
      <c r="AD85"/>
      <c r="AE85" s="24"/>
      <c r="AF85"/>
    </row>
    <row r="86" spans="2:37" x14ac:dyDescent="0.25">
      <c r="B86" s="213" t="s">
        <v>41</v>
      </c>
      <c r="C86" s="208"/>
      <c r="D86" s="203">
        <v>24860</v>
      </c>
      <c r="E86" s="174">
        <v>25001</v>
      </c>
      <c r="F86" s="174">
        <v>25671</v>
      </c>
      <c r="G86" s="174">
        <v>25737</v>
      </c>
      <c r="H86" s="174">
        <v>25376</v>
      </c>
      <c r="I86" s="174">
        <v>25982</v>
      </c>
      <c r="J86" s="174">
        <v>24349</v>
      </c>
      <c r="K86" s="174">
        <v>25106</v>
      </c>
      <c r="L86" s="174">
        <v>28060</v>
      </c>
      <c r="M86" s="174">
        <v>28328</v>
      </c>
      <c r="N86" s="174">
        <v>28543</v>
      </c>
      <c r="O86" s="174">
        <v>28948</v>
      </c>
      <c r="P86" s="174">
        <v>28828</v>
      </c>
      <c r="Q86" s="174">
        <v>28724</v>
      </c>
      <c r="R86" s="175">
        <v>28625</v>
      </c>
      <c r="S86" s="176">
        <v>28331</v>
      </c>
      <c r="T86" s="176">
        <v>28140</v>
      </c>
      <c r="U86" s="176">
        <f>U68</f>
        <v>27411</v>
      </c>
      <c r="V86" s="176">
        <v>26931</v>
      </c>
      <c r="W86" s="177">
        <v>26798</v>
      </c>
      <c r="X86" s="177">
        <v>26038</v>
      </c>
      <c r="Y86" s="177">
        <v>25219</v>
      </c>
      <c r="Z86" s="177">
        <v>25078</v>
      </c>
      <c r="AA86" s="177">
        <v>25061</v>
      </c>
      <c r="AB86" s="177">
        <v>25235</v>
      </c>
      <c r="AC86" s="177">
        <v>25251</v>
      </c>
      <c r="AD86"/>
      <c r="AE86" s="24"/>
      <c r="AF86"/>
    </row>
    <row r="87" spans="2:37" ht="15.75" thickBot="1" x14ac:dyDescent="0.3">
      <c r="B87" s="214" t="s">
        <v>42</v>
      </c>
      <c r="C87" s="215"/>
      <c r="D87" s="216">
        <f t="shared" ref="D87:U87" si="92">SUM(D78-D86)</f>
        <v>799</v>
      </c>
      <c r="E87" s="188">
        <f t="shared" si="92"/>
        <v>1059</v>
      </c>
      <c r="F87" s="188">
        <f t="shared" si="92"/>
        <v>1937</v>
      </c>
      <c r="G87" s="188">
        <f t="shared" si="92"/>
        <v>2457</v>
      </c>
      <c r="H87" s="188">
        <f t="shared" si="92"/>
        <v>2721</v>
      </c>
      <c r="I87" s="188">
        <f t="shared" si="92"/>
        <v>3110</v>
      </c>
      <c r="J87" s="188">
        <f t="shared" si="92"/>
        <v>5456</v>
      </c>
      <c r="K87" s="188">
        <f t="shared" si="92"/>
        <v>5470</v>
      </c>
      <c r="L87" s="188">
        <f t="shared" si="92"/>
        <v>5438</v>
      </c>
      <c r="M87" s="188">
        <f t="shared" si="92"/>
        <v>5889</v>
      </c>
      <c r="N87" s="188">
        <f t="shared" si="92"/>
        <v>5946</v>
      </c>
      <c r="O87" s="188">
        <f t="shared" si="92"/>
        <v>6065</v>
      </c>
      <c r="P87" s="188">
        <f t="shared" si="92"/>
        <v>6095</v>
      </c>
      <c r="Q87" s="188">
        <f t="shared" si="92"/>
        <v>6126</v>
      </c>
      <c r="R87" s="188">
        <f t="shared" si="92"/>
        <v>6255</v>
      </c>
      <c r="S87" s="217">
        <f t="shared" si="92"/>
        <v>6256</v>
      </c>
      <c r="T87" s="217">
        <f t="shared" si="92"/>
        <v>5967</v>
      </c>
      <c r="U87" s="217">
        <f t="shared" si="92"/>
        <v>5882</v>
      </c>
      <c r="V87" s="217">
        <f t="shared" ref="V87:Y87" si="93">SUM(V78-V86)</f>
        <v>5926</v>
      </c>
      <c r="W87" s="189">
        <f t="shared" si="93"/>
        <v>5834</v>
      </c>
      <c r="X87" s="189">
        <f t="shared" si="93"/>
        <v>5898</v>
      </c>
      <c r="Y87" s="189">
        <f t="shared" si="93"/>
        <v>6055</v>
      </c>
      <c r="Z87" s="189">
        <f t="shared" ref="Z87:AA87" si="94">SUM(Z78-Z86)</f>
        <v>6098</v>
      </c>
      <c r="AA87" s="189">
        <f t="shared" si="94"/>
        <v>5855</v>
      </c>
      <c r="AB87" s="189">
        <f t="shared" ref="AB87:AC87" si="95">SUM(AB78-AB86)</f>
        <v>5884</v>
      </c>
      <c r="AC87" s="189">
        <f t="shared" si="95"/>
        <v>5919</v>
      </c>
      <c r="AD87"/>
      <c r="AE87" s="24"/>
      <c r="AF87"/>
    </row>
    <row r="88" spans="2:37" s="5" customFormat="1" x14ac:dyDescent="0.25">
      <c r="B88" s="325"/>
      <c r="C88" s="325"/>
      <c r="D88" s="318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9"/>
      <c r="T88" s="319"/>
      <c r="U88" s="319"/>
      <c r="V88" s="319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</row>
    <row r="89" spans="2:37" x14ac:dyDescent="0.25">
      <c r="Q89" s="4"/>
      <c r="R89" s="4"/>
      <c r="Y89" s="5"/>
      <c r="Z89" s="6"/>
      <c r="AA89" s="5"/>
    </row>
    <row r="90" spans="2:37" x14ac:dyDescent="0.25">
      <c r="B90" s="281" t="s">
        <v>56</v>
      </c>
      <c r="Q90" s="4"/>
      <c r="R90" s="4"/>
      <c r="Y90" s="5"/>
      <c r="Z90" s="6"/>
      <c r="AA90" s="280">
        <v>2022</v>
      </c>
      <c r="AB90" s="280">
        <v>2023</v>
      </c>
      <c r="AC90" s="280">
        <v>2024</v>
      </c>
    </row>
    <row r="91" spans="2:37" x14ac:dyDescent="0.25">
      <c r="C91" s="282" t="s">
        <v>17</v>
      </c>
      <c r="Q91" s="4"/>
      <c r="R91" s="4"/>
      <c r="Y91" s="5"/>
      <c r="Z91" s="6"/>
      <c r="AA91" s="279">
        <v>6996</v>
      </c>
      <c r="AB91" s="279">
        <v>7052</v>
      </c>
      <c r="AC91" s="279">
        <v>6936</v>
      </c>
      <c r="AD91" s="4"/>
    </row>
    <row r="92" spans="2:37" x14ac:dyDescent="0.25">
      <c r="C92" s="330" t="s">
        <v>65</v>
      </c>
      <c r="D92" s="281"/>
      <c r="E92" s="281"/>
      <c r="F92" s="281"/>
      <c r="G92" s="281"/>
      <c r="H92" s="281"/>
      <c r="I92" s="281"/>
      <c r="J92" s="281"/>
      <c r="K92" s="281"/>
      <c r="L92" s="281"/>
      <c r="M92" s="281"/>
      <c r="N92" s="281"/>
      <c r="O92" s="281"/>
      <c r="P92" s="281"/>
      <c r="Q92" s="331"/>
      <c r="R92" s="331"/>
      <c r="S92" s="281"/>
      <c r="T92" s="281"/>
      <c r="U92" s="281"/>
      <c r="V92" s="281"/>
      <c r="W92" s="281"/>
      <c r="X92" s="281"/>
      <c r="Y92" s="332"/>
      <c r="Z92" s="333"/>
      <c r="AA92" s="334">
        <f>SUM(AA93:AA95)</f>
        <v>1193</v>
      </c>
      <c r="AB92" s="334">
        <f t="shared" ref="AB92:AC92" si="96">SUM(AB93:AB95)</f>
        <v>1410</v>
      </c>
      <c r="AC92" s="334">
        <f t="shared" si="96"/>
        <v>1987</v>
      </c>
      <c r="AK92" s="4"/>
    </row>
    <row r="93" spans="2:37" x14ac:dyDescent="0.25">
      <c r="C93" s="282" t="s">
        <v>66</v>
      </c>
      <c r="Q93" s="4"/>
      <c r="R93" s="4"/>
      <c r="Y93" s="5"/>
      <c r="Z93" s="6"/>
      <c r="AA93" s="279">
        <v>504</v>
      </c>
      <c r="AB93" s="279">
        <v>394</v>
      </c>
      <c r="AC93" s="279">
        <v>431</v>
      </c>
      <c r="AD93" s="2" t="s">
        <v>72</v>
      </c>
    </row>
    <row r="94" spans="2:37" x14ac:dyDescent="0.25">
      <c r="C94" s="282" t="s">
        <v>67</v>
      </c>
      <c r="Q94" s="4"/>
      <c r="R94" s="4"/>
      <c r="Y94" s="5"/>
      <c r="Z94" s="6"/>
      <c r="AA94" s="279">
        <v>55</v>
      </c>
      <c r="AB94" s="279">
        <v>80</v>
      </c>
      <c r="AC94" s="279">
        <v>78</v>
      </c>
    </row>
    <row r="95" spans="2:37" x14ac:dyDescent="0.25">
      <c r="C95" s="282" t="s">
        <v>68</v>
      </c>
      <c r="Q95" s="4"/>
      <c r="R95" s="4"/>
      <c r="Y95" s="5"/>
      <c r="Z95" s="6"/>
      <c r="AA95" s="279">
        <v>634</v>
      </c>
      <c r="AB95" s="279">
        <v>936</v>
      </c>
      <c r="AC95" s="279">
        <v>1478</v>
      </c>
      <c r="AD95" s="4" t="s">
        <v>73</v>
      </c>
    </row>
    <row r="96" spans="2:37" ht="12.6" customHeight="1" x14ac:dyDescent="0.25">
      <c r="C96" s="282" t="s">
        <v>63</v>
      </c>
      <c r="Q96" s="4"/>
      <c r="R96" s="4"/>
      <c r="Y96" s="5"/>
      <c r="Z96" s="6"/>
      <c r="AA96" s="279">
        <v>47</v>
      </c>
      <c r="AB96" s="279">
        <v>70</v>
      </c>
      <c r="AC96" s="279">
        <v>89</v>
      </c>
      <c r="AG96" s="4"/>
    </row>
    <row r="97" spans="2:29" x14ac:dyDescent="0.25">
      <c r="C97" s="282" t="s">
        <v>64</v>
      </c>
      <c r="Q97" s="4"/>
      <c r="R97" s="4"/>
      <c r="Y97" s="5"/>
      <c r="Z97" s="6"/>
      <c r="AA97" s="279">
        <v>4</v>
      </c>
      <c r="AB97" s="279">
        <v>6</v>
      </c>
      <c r="AC97" s="279">
        <v>12</v>
      </c>
    </row>
    <row r="98" spans="2:29" x14ac:dyDescent="0.25">
      <c r="C98" s="282" t="s">
        <v>29</v>
      </c>
      <c r="Q98" s="4"/>
      <c r="R98" s="4"/>
      <c r="Y98" s="5"/>
      <c r="Z98" s="6"/>
      <c r="AA98" s="279">
        <f>AA91+AA92+AA96+AA97</f>
        <v>8240</v>
      </c>
      <c r="AB98" s="279">
        <f>AB91+AB92+AB96+AB97</f>
        <v>8538</v>
      </c>
      <c r="AC98" s="279">
        <f>AC91+AC92+AC96+AC97</f>
        <v>9024</v>
      </c>
    </row>
    <row r="99" spans="2:29" x14ac:dyDescent="0.25">
      <c r="D99" s="4"/>
      <c r="Y99" s="6"/>
      <c r="Z99" s="5"/>
      <c r="AA99" s="5"/>
    </row>
    <row r="100" spans="2:29" x14ac:dyDescent="0.25">
      <c r="B100" s="2" t="s">
        <v>84</v>
      </c>
      <c r="P100" s="4"/>
      <c r="Y100" s="5"/>
      <c r="Z100" s="5"/>
      <c r="AA100" s="5"/>
    </row>
    <row r="101" spans="2:29" x14ac:dyDescent="0.25">
      <c r="B101" s="2" t="s">
        <v>69</v>
      </c>
      <c r="P101" s="4"/>
      <c r="Y101" s="5"/>
      <c r="Z101" s="5"/>
      <c r="AA101" s="5"/>
    </row>
    <row r="102" spans="2:29" x14ac:dyDescent="0.25">
      <c r="B102" s="2" t="s">
        <v>53</v>
      </c>
      <c r="Y102" s="5"/>
      <c r="Z102" s="5"/>
      <c r="AA102" s="5"/>
    </row>
    <row r="103" spans="2:29" x14ac:dyDescent="0.25">
      <c r="B103" s="2" t="s">
        <v>85</v>
      </c>
      <c r="P103" s="4"/>
      <c r="Y103" s="5"/>
      <c r="Z103" s="5"/>
      <c r="AA103" s="5"/>
    </row>
    <row r="104" spans="2:29" x14ac:dyDescent="0.25">
      <c r="B104" s="2" t="s">
        <v>86</v>
      </c>
      <c r="P104" s="4"/>
      <c r="Y104" s="5"/>
      <c r="Z104" s="5"/>
      <c r="AA104" s="5"/>
    </row>
    <row r="105" spans="2:29" x14ac:dyDescent="0.25">
      <c r="B105" s="2" t="s">
        <v>87</v>
      </c>
      <c r="P105" s="4"/>
      <c r="Y105" s="5"/>
      <c r="Z105" s="5"/>
      <c r="AA105" s="5"/>
    </row>
    <row r="106" spans="2:29" x14ac:dyDescent="0.25">
      <c r="B106" s="2" t="s">
        <v>89</v>
      </c>
    </row>
    <row r="108" spans="2:29" x14ac:dyDescent="0.25">
      <c r="B108" s="2" t="s">
        <v>36</v>
      </c>
    </row>
    <row r="109" spans="2:29" x14ac:dyDescent="0.25">
      <c r="C109" s="2" t="s">
        <v>37</v>
      </c>
    </row>
    <row r="110" spans="2:29" x14ac:dyDescent="0.25">
      <c r="C110" s="2" t="s">
        <v>52</v>
      </c>
    </row>
    <row r="111" spans="2:29" x14ac:dyDescent="0.25">
      <c r="C111" s="16" t="s">
        <v>47</v>
      </c>
    </row>
    <row r="113" spans="2:2" x14ac:dyDescent="0.25">
      <c r="B113" s="13" t="s">
        <v>88</v>
      </c>
    </row>
  </sheetData>
  <mergeCells count="12">
    <mergeCell ref="B81:B83"/>
    <mergeCell ref="B57:B59"/>
    <mergeCell ref="B60:B62"/>
    <mergeCell ref="B63:B65"/>
    <mergeCell ref="B75:B77"/>
    <mergeCell ref="B78:B80"/>
    <mergeCell ref="B31:B33"/>
    <mergeCell ref="B34:B36"/>
    <mergeCell ref="B37:B39"/>
    <mergeCell ref="B13:B15"/>
    <mergeCell ref="B16:B18"/>
    <mergeCell ref="B19:B21"/>
  </mergeCells>
  <phoneticPr fontId="10" type="noConversion"/>
  <printOptions horizontalCentered="1"/>
  <pageMargins left="0" right="0" top="0.11811023622047245" bottom="0.15748031496062992" header="0" footer="0"/>
  <pageSetup paperSize="9" scale="71" orientation="landscape" r:id="rId1"/>
  <headerFooter alignWithMargins="0"/>
  <ignoredErrors>
    <ignoredError sqref="U83:U8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P109"/>
  <sheetViews>
    <sheetView showGridLines="0" zoomScale="85" zoomScaleNormal="85" workbookViewId="0">
      <pane xSplit="3" ySplit="5" topLeftCell="D6" activePane="bottomRight" state="frozen"/>
      <selection activeCell="AC11" sqref="AC11"/>
      <selection pane="topRight" activeCell="AC11" sqref="AC11"/>
      <selection pane="bottomLeft" activeCell="AC11" sqref="AC11"/>
      <selection pane="bottomRight" activeCell="D6" sqref="D6"/>
    </sheetView>
  </sheetViews>
  <sheetFormatPr defaultRowHeight="12.75" x14ac:dyDescent="0.2"/>
  <cols>
    <col min="1" max="1" width="1.5703125" customWidth="1"/>
    <col min="2" max="2" width="16.140625" customWidth="1"/>
    <col min="3" max="3" width="8.140625" customWidth="1"/>
    <col min="4" max="9" width="10.5703125" customWidth="1"/>
    <col min="10" max="10" width="11.140625" customWidth="1"/>
    <col min="11" max="12" width="11" customWidth="1"/>
    <col min="13" max="13" width="10.42578125" customWidth="1"/>
    <col min="14" max="14" width="11.85546875" customWidth="1"/>
    <col min="15" max="15" width="10.7109375" bestFit="1" customWidth="1"/>
    <col min="16" max="16" width="10.7109375" customWidth="1"/>
    <col min="17" max="17" width="10.42578125" style="247" customWidth="1"/>
    <col min="18" max="18" width="10.85546875" customWidth="1"/>
    <col min="19" max="19" width="10.28515625" customWidth="1"/>
    <col min="20" max="20" width="10.42578125" customWidth="1"/>
    <col min="21" max="24" width="9.7109375" customWidth="1"/>
    <col min="25" max="25" width="10" customWidth="1"/>
    <col min="28" max="28" width="6.140625" bestFit="1" customWidth="1"/>
    <col min="29" max="29" width="6.7109375" bestFit="1" customWidth="1"/>
    <col min="30" max="30" width="6.140625" bestFit="1" customWidth="1"/>
    <col min="31" max="31" width="6.7109375" bestFit="1" customWidth="1"/>
    <col min="32" max="32" width="9.28515625" bestFit="1" customWidth="1"/>
    <col min="33" max="33" width="6.7109375" bestFit="1" customWidth="1"/>
    <col min="34" max="34" width="11.85546875" customWidth="1"/>
    <col min="36" max="36" width="10.42578125" bestFit="1" customWidth="1"/>
  </cols>
  <sheetData>
    <row r="1" spans="2:27" ht="18.75" x14ac:dyDescent="0.3">
      <c r="B1" s="42" t="s">
        <v>70</v>
      </c>
      <c r="K1" s="7"/>
      <c r="L1" s="7"/>
      <c r="M1" s="7"/>
      <c r="N1" s="7"/>
      <c r="O1" s="7"/>
      <c r="P1" s="7"/>
      <c r="Q1" s="246"/>
    </row>
    <row r="2" spans="2:27" ht="15.75" x14ac:dyDescent="0.25">
      <c r="B2" s="15"/>
      <c r="K2" s="7"/>
      <c r="L2" s="7"/>
      <c r="M2" s="7"/>
      <c r="N2" s="7"/>
      <c r="O2" s="7"/>
      <c r="P2" s="22"/>
    </row>
    <row r="3" spans="2:27" ht="15.75" x14ac:dyDescent="0.25">
      <c r="B3" s="15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2:27" ht="15.75" thickBot="1" x14ac:dyDescent="0.3">
      <c r="D4" s="54"/>
      <c r="G4" s="9"/>
      <c r="V4" s="51" t="s">
        <v>82</v>
      </c>
      <c r="W4" s="51"/>
      <c r="X4" s="51"/>
    </row>
    <row r="5" spans="2:27" ht="15.75" thickBot="1" x14ac:dyDescent="0.3">
      <c r="B5" s="126"/>
      <c r="C5" s="126"/>
      <c r="D5" s="121">
        <v>2008</v>
      </c>
      <c r="E5" s="101">
        <v>2009</v>
      </c>
      <c r="F5" s="101">
        <v>2010</v>
      </c>
      <c r="G5" s="101">
        <v>2011</v>
      </c>
      <c r="H5" s="101">
        <v>2012</v>
      </c>
      <c r="I5" s="102">
        <v>2013</v>
      </c>
      <c r="J5" s="102">
        <v>2014</v>
      </c>
      <c r="K5" s="102">
        <v>2015</v>
      </c>
      <c r="L5" s="102">
        <v>2016</v>
      </c>
      <c r="M5" s="102">
        <v>2017</v>
      </c>
      <c r="N5" s="102">
        <v>2018</v>
      </c>
      <c r="O5" s="102">
        <v>2019</v>
      </c>
      <c r="P5" s="103">
        <v>2020</v>
      </c>
      <c r="Q5" s="254">
        <v>2021</v>
      </c>
      <c r="R5" s="102">
        <v>2022</v>
      </c>
      <c r="S5" s="335">
        <v>2023</v>
      </c>
      <c r="T5" s="360">
        <v>2024</v>
      </c>
      <c r="U5" s="104">
        <v>2025</v>
      </c>
      <c r="V5" s="104">
        <v>2026</v>
      </c>
      <c r="W5" s="104">
        <v>2027</v>
      </c>
      <c r="X5" s="104">
        <v>2028</v>
      </c>
      <c r="Y5" s="26" t="s">
        <v>44</v>
      </c>
      <c r="Z5" s="21" t="s">
        <v>48</v>
      </c>
      <c r="AA5" s="21"/>
    </row>
    <row r="6" spans="2:27" ht="15" x14ac:dyDescent="0.25">
      <c r="B6" s="145" t="s">
        <v>17</v>
      </c>
      <c r="C6" s="127" t="s">
        <v>21</v>
      </c>
      <c r="D6" s="122">
        <v>461715</v>
      </c>
      <c r="E6" s="97">
        <v>448371</v>
      </c>
      <c r="F6" s="97">
        <v>439675</v>
      </c>
      <c r="G6" s="97">
        <v>434477</v>
      </c>
      <c r="H6" s="97">
        <v>430139</v>
      </c>
      <c r="I6" s="97">
        <v>427377</v>
      </c>
      <c r="J6" s="97">
        <v>425731</v>
      </c>
      <c r="K6" s="97">
        <v>427418</v>
      </c>
      <c r="L6" s="97">
        <v>433465</v>
      </c>
      <c r="M6" s="97">
        <v>440582</v>
      </c>
      <c r="N6" s="97">
        <v>447092</v>
      </c>
      <c r="O6" s="97">
        <v>454175</v>
      </c>
      <c r="P6" s="98">
        <v>461060</v>
      </c>
      <c r="Q6" s="97">
        <v>468540</v>
      </c>
      <c r="R6" s="293">
        <v>481856</v>
      </c>
      <c r="S6" s="345">
        <v>489187</v>
      </c>
      <c r="T6" s="361">
        <v>493743</v>
      </c>
      <c r="U6" s="99">
        <v>488946</v>
      </c>
      <c r="V6" s="99">
        <v>490289</v>
      </c>
      <c r="W6" s="99">
        <v>491329</v>
      </c>
      <c r="X6" s="99">
        <v>495233</v>
      </c>
      <c r="Z6" s="20" t="s">
        <v>74</v>
      </c>
      <c r="AA6" s="20"/>
    </row>
    <row r="7" spans="2:27" ht="15" x14ac:dyDescent="0.25">
      <c r="B7" s="145"/>
      <c r="C7" s="233" t="s">
        <v>22</v>
      </c>
      <c r="D7" s="234">
        <v>35246</v>
      </c>
      <c r="E7" s="235">
        <v>35171</v>
      </c>
      <c r="F7" s="235">
        <v>35382</v>
      </c>
      <c r="G7" s="235">
        <v>35571</v>
      </c>
      <c r="H7" s="235">
        <v>35384</v>
      </c>
      <c r="I7" s="235">
        <f>SUM(I8:I9)</f>
        <v>35006</v>
      </c>
      <c r="J7" s="235">
        <v>34811</v>
      </c>
      <c r="K7" s="235">
        <v>35051</v>
      </c>
      <c r="L7" s="235">
        <v>35067</v>
      </c>
      <c r="M7" s="235">
        <v>35239</v>
      </c>
      <c r="N7" s="235">
        <v>36048</v>
      </c>
      <c r="O7" s="235">
        <v>36189</v>
      </c>
      <c r="P7" s="236">
        <f>P8+P9</f>
        <v>36595</v>
      </c>
      <c r="Q7" s="236">
        <f>Q8+Q9</f>
        <v>38040</v>
      </c>
      <c r="R7" s="294">
        <f t="shared" ref="R7:U7" si="0">R8+R9</f>
        <v>38345</v>
      </c>
      <c r="S7" s="346">
        <f t="shared" si="0"/>
        <v>39071</v>
      </c>
      <c r="T7" s="362">
        <f t="shared" si="0"/>
        <v>39792</v>
      </c>
      <c r="U7" s="237">
        <f t="shared" si="0"/>
        <v>40366</v>
      </c>
      <c r="V7" s="237">
        <f t="shared" ref="V7:W7" si="1">V8+V9</f>
        <v>41021</v>
      </c>
      <c r="W7" s="237">
        <f t="shared" si="1"/>
        <v>41758</v>
      </c>
      <c r="X7" s="237">
        <f t="shared" ref="X7" si="2">X8+X9</f>
        <v>42460</v>
      </c>
      <c r="Y7" s="34">
        <f>AVERAGE(O6:T6)/AVERAGE(O7:T7)</f>
        <v>12.491935342408082</v>
      </c>
      <c r="Z7" s="20" t="s">
        <v>75</v>
      </c>
      <c r="AA7" s="20"/>
    </row>
    <row r="8" spans="2:27" ht="15" x14ac:dyDescent="0.25">
      <c r="B8" s="145"/>
      <c r="C8" s="67" t="s">
        <v>23</v>
      </c>
      <c r="D8" s="123">
        <v>30020</v>
      </c>
      <c r="E8" s="55">
        <v>29987</v>
      </c>
      <c r="F8" s="55">
        <v>30155</v>
      </c>
      <c r="G8" s="55">
        <v>30267</v>
      </c>
      <c r="H8" s="55">
        <v>30195</v>
      </c>
      <c r="I8" s="55">
        <v>29826</v>
      </c>
      <c r="J8" s="55">
        <v>29646</v>
      </c>
      <c r="K8" s="55">
        <v>29853</v>
      </c>
      <c r="L8" s="55">
        <v>29911</v>
      </c>
      <c r="M8" s="55">
        <v>30230</v>
      </c>
      <c r="N8" s="55">
        <v>30505</v>
      </c>
      <c r="O8" s="55">
        <v>30789</v>
      </c>
      <c r="P8" s="56">
        <v>31225</v>
      </c>
      <c r="Q8" s="55">
        <v>32372</v>
      </c>
      <c r="R8" s="295">
        <v>32508</v>
      </c>
      <c r="S8" s="347">
        <v>33008</v>
      </c>
      <c r="T8" s="363">
        <v>33422</v>
      </c>
      <c r="U8" s="57">
        <v>33845</v>
      </c>
      <c r="V8" s="57">
        <v>34320</v>
      </c>
      <c r="W8" s="57">
        <v>34817</v>
      </c>
      <c r="X8" s="57">
        <v>35353</v>
      </c>
      <c r="Y8" s="27">
        <f>AVERAGE(O10:T10)</f>
        <v>0.84792604658429616</v>
      </c>
      <c r="Z8" s="20" t="s">
        <v>76</v>
      </c>
      <c r="AA8" s="20"/>
    </row>
    <row r="9" spans="2:27" ht="15" x14ac:dyDescent="0.25">
      <c r="B9" s="145"/>
      <c r="C9" s="128" t="s">
        <v>24</v>
      </c>
      <c r="D9" s="124">
        <v>5226</v>
      </c>
      <c r="E9" s="71">
        <v>5184</v>
      </c>
      <c r="F9" s="71">
        <v>5227</v>
      </c>
      <c r="G9" s="71">
        <v>5304</v>
      </c>
      <c r="H9" s="71">
        <v>5189</v>
      </c>
      <c r="I9" s="71">
        <v>5180</v>
      </c>
      <c r="J9" s="71">
        <v>5165</v>
      </c>
      <c r="K9" s="71">
        <v>5198</v>
      </c>
      <c r="L9" s="71">
        <v>5156</v>
      </c>
      <c r="M9" s="71">
        <f t="shared" ref="M9:N9" si="3">M7-M8</f>
        <v>5009</v>
      </c>
      <c r="N9" s="71">
        <f t="shared" si="3"/>
        <v>5543</v>
      </c>
      <c r="O9" s="71">
        <f>O7-O8</f>
        <v>5400</v>
      </c>
      <c r="P9" s="72">
        <v>5370</v>
      </c>
      <c r="Q9" s="71">
        <v>5668</v>
      </c>
      <c r="R9" s="296">
        <v>5837</v>
      </c>
      <c r="S9" s="348">
        <v>6063</v>
      </c>
      <c r="T9" s="364">
        <v>6370</v>
      </c>
      <c r="U9" s="73">
        <v>6521</v>
      </c>
      <c r="V9" s="73">
        <v>6701</v>
      </c>
      <c r="W9" s="73">
        <v>6941</v>
      </c>
      <c r="X9" s="73">
        <v>7107</v>
      </c>
      <c r="Y9" s="10"/>
      <c r="Z9" s="20"/>
      <c r="AA9" s="20"/>
    </row>
    <row r="10" spans="2:27" ht="15.75" thickBot="1" x14ac:dyDescent="0.3">
      <c r="B10" s="146"/>
      <c r="C10" s="129" t="s">
        <v>43</v>
      </c>
      <c r="D10" s="125">
        <f>D8/D7</f>
        <v>0.85172785564319353</v>
      </c>
      <c r="E10" s="74">
        <f t="shared" ref="E10:N10" si="4">E8/E7</f>
        <v>0.85260584003866824</v>
      </c>
      <c r="F10" s="74">
        <f t="shared" si="4"/>
        <v>0.85226951557289021</v>
      </c>
      <c r="G10" s="74">
        <f t="shared" si="4"/>
        <v>0.85088976975626207</v>
      </c>
      <c r="H10" s="74">
        <f t="shared" si="4"/>
        <v>0.85335179742256384</v>
      </c>
      <c r="I10" s="75">
        <f>I8/I7</f>
        <v>0.85202536707992915</v>
      </c>
      <c r="J10" s="75">
        <f>J8/J7</f>
        <v>0.85162735916807908</v>
      </c>
      <c r="K10" s="75">
        <f t="shared" si="4"/>
        <v>0.85170180593991607</v>
      </c>
      <c r="L10" s="75">
        <f t="shared" si="4"/>
        <v>0.85296717711808823</v>
      </c>
      <c r="M10" s="75">
        <f t="shared" si="4"/>
        <v>0.8578563523368995</v>
      </c>
      <c r="N10" s="75">
        <f t="shared" si="4"/>
        <v>0.84623280071016427</v>
      </c>
      <c r="O10" s="75">
        <f>O8/O7</f>
        <v>0.85078338721711022</v>
      </c>
      <c r="P10" s="76">
        <f>P8/P7</f>
        <v>0.85325864189096867</v>
      </c>
      <c r="Q10" s="264">
        <f>Q8/Q7</f>
        <v>0.85099894847528912</v>
      </c>
      <c r="R10" s="297">
        <f>R8/R7</f>
        <v>0.84777676359368892</v>
      </c>
      <c r="S10" s="349">
        <f t="shared" ref="S10" si="5">S8/S7</f>
        <v>0.84482096695759001</v>
      </c>
      <c r="T10" s="365">
        <f t="shared" ref="T10:U10" si="6">T8/T7</f>
        <v>0.83991757137112988</v>
      </c>
      <c r="U10" s="77">
        <f t="shared" si="6"/>
        <v>0.83845315364415596</v>
      </c>
      <c r="V10" s="77">
        <f t="shared" ref="V10:W10" si="7">V8/V7</f>
        <v>0.83664464542551376</v>
      </c>
      <c r="W10" s="77">
        <f t="shared" si="7"/>
        <v>0.83378035346520429</v>
      </c>
      <c r="X10" s="77">
        <f t="shared" ref="X10" si="8">X8/X7</f>
        <v>0.83261893546867638</v>
      </c>
      <c r="Y10" s="10"/>
      <c r="Z10" s="20"/>
      <c r="AA10" s="20"/>
    </row>
    <row r="11" spans="2:27" ht="15.75" thickBot="1" x14ac:dyDescent="0.3">
      <c r="B11" s="40"/>
      <c r="C11" s="40"/>
      <c r="D11" s="58"/>
      <c r="E11" s="58"/>
      <c r="F11" s="58"/>
      <c r="G11" s="58"/>
      <c r="H11" s="59"/>
      <c r="I11" s="59"/>
      <c r="J11" s="59"/>
      <c r="K11" s="59"/>
      <c r="L11" s="59"/>
      <c r="M11" s="59"/>
      <c r="N11" s="59"/>
      <c r="O11" s="59"/>
      <c r="P11" s="60"/>
      <c r="Q11" s="59"/>
      <c r="R11" s="298"/>
      <c r="S11" s="350"/>
      <c r="T11" s="366"/>
      <c r="U11" s="59"/>
      <c r="V11" s="59"/>
      <c r="W11" s="59"/>
      <c r="X11" s="59"/>
      <c r="Y11" s="29"/>
      <c r="Z11" s="20"/>
      <c r="AA11" s="20"/>
    </row>
    <row r="12" spans="2:27" ht="15" x14ac:dyDescent="0.25">
      <c r="B12" s="147" t="s">
        <v>19</v>
      </c>
      <c r="C12" s="66" t="s">
        <v>26</v>
      </c>
      <c r="D12" s="130">
        <v>99821</v>
      </c>
      <c r="E12" s="61">
        <v>94019</v>
      </c>
      <c r="F12" s="61">
        <v>89336</v>
      </c>
      <c r="G12" s="61">
        <v>85071</v>
      </c>
      <c r="H12" s="61">
        <v>80346</v>
      </c>
      <c r="I12" s="61">
        <v>76711</v>
      </c>
      <c r="J12" s="61">
        <v>74891</v>
      </c>
      <c r="K12" s="61">
        <v>73757</v>
      </c>
      <c r="L12" s="61">
        <v>72287</v>
      </c>
      <c r="M12" s="61">
        <v>73880</v>
      </c>
      <c r="N12" s="61">
        <v>72842</v>
      </c>
      <c r="O12" s="61">
        <v>71153</v>
      </c>
      <c r="P12" s="62">
        <v>70675</v>
      </c>
      <c r="Q12" s="61">
        <v>72776</v>
      </c>
      <c r="R12" s="299">
        <f>73829</f>
        <v>73829</v>
      </c>
      <c r="S12" s="351">
        <v>73829</v>
      </c>
      <c r="T12" s="367">
        <v>74785</v>
      </c>
      <c r="U12" s="63">
        <v>75649</v>
      </c>
      <c r="V12" s="63">
        <v>76872</v>
      </c>
      <c r="W12" s="63">
        <v>79448</v>
      </c>
      <c r="X12" s="63">
        <v>84918</v>
      </c>
      <c r="Y12" s="10"/>
      <c r="Z12" s="20" t="s">
        <v>77</v>
      </c>
      <c r="AA12" s="20"/>
    </row>
    <row r="13" spans="2:27" ht="15" x14ac:dyDescent="0.25">
      <c r="B13" s="145"/>
      <c r="C13" s="67" t="s">
        <v>25</v>
      </c>
      <c r="D13" s="123">
        <v>1333</v>
      </c>
      <c r="E13" s="55">
        <v>1172</v>
      </c>
      <c r="F13" s="55">
        <v>1083</v>
      </c>
      <c r="G13" s="55">
        <v>901</v>
      </c>
      <c r="H13" s="55">
        <v>763</v>
      </c>
      <c r="I13" s="55">
        <v>521</v>
      </c>
      <c r="J13" s="64">
        <v>621</v>
      </c>
      <c r="K13" s="64">
        <v>595</v>
      </c>
      <c r="L13" s="64">
        <v>520</v>
      </c>
      <c r="M13" s="64">
        <v>493</v>
      </c>
      <c r="N13" s="64">
        <v>441</v>
      </c>
      <c r="O13" s="64">
        <v>460</v>
      </c>
      <c r="P13" s="56">
        <v>453</v>
      </c>
      <c r="Q13" s="55">
        <v>460</v>
      </c>
      <c r="R13" s="295">
        <v>552</v>
      </c>
      <c r="S13" s="347">
        <v>464</v>
      </c>
      <c r="T13" s="363">
        <v>842</v>
      </c>
      <c r="U13" s="57">
        <v>856</v>
      </c>
      <c r="V13" s="57">
        <v>877</v>
      </c>
      <c r="W13" s="57">
        <v>905</v>
      </c>
      <c r="X13" s="57">
        <v>956</v>
      </c>
      <c r="Y13" s="30">
        <f>SUM(O13:T13)/SUM(O12:T12)</f>
        <v>7.392797570970628E-3</v>
      </c>
      <c r="Z13" s="20" t="s">
        <v>59</v>
      </c>
      <c r="AA13" s="20"/>
    </row>
    <row r="14" spans="2:27" ht="15" x14ac:dyDescent="0.25">
      <c r="B14" s="145"/>
      <c r="C14" s="233" t="s">
        <v>22</v>
      </c>
      <c r="D14" s="234">
        <v>8359</v>
      </c>
      <c r="E14" s="235">
        <v>8225</v>
      </c>
      <c r="F14" s="235">
        <v>8035</v>
      </c>
      <c r="G14" s="235">
        <v>7837</v>
      </c>
      <c r="H14" s="235">
        <v>7590</v>
      </c>
      <c r="I14" s="235">
        <v>7387</v>
      </c>
      <c r="J14" s="235">
        <v>6999</v>
      </c>
      <c r="K14" s="235">
        <v>6933</v>
      </c>
      <c r="L14" s="235">
        <v>6793</v>
      </c>
      <c r="M14" s="235">
        <v>6839</v>
      </c>
      <c r="N14" s="235">
        <v>6899</v>
      </c>
      <c r="O14" s="235">
        <v>6897</v>
      </c>
      <c r="P14" s="236">
        <f>P15+P16</f>
        <v>6842</v>
      </c>
      <c r="Q14" s="236">
        <f>Q15+Q16</f>
        <v>6790</v>
      </c>
      <c r="R14" s="294">
        <f t="shared" ref="R14:U14" si="9">R15+R16</f>
        <v>6602</v>
      </c>
      <c r="S14" s="346">
        <f>S15+S16</f>
        <v>6605</v>
      </c>
      <c r="T14" s="362">
        <f t="shared" si="9"/>
        <v>6637</v>
      </c>
      <c r="U14" s="237">
        <f t="shared" si="9"/>
        <v>6749</v>
      </c>
      <c r="V14" s="237">
        <f t="shared" ref="V14:W14" si="10">V15+V16</f>
        <v>6911</v>
      </c>
      <c r="W14" s="237">
        <f t="shared" si="10"/>
        <v>7131</v>
      </c>
      <c r="X14" s="237">
        <f t="shared" ref="X14" si="11">X15+X16</f>
        <v>7536</v>
      </c>
      <c r="Y14" s="10"/>
      <c r="Z14" s="20" t="s">
        <v>77</v>
      </c>
      <c r="AA14" s="20"/>
    </row>
    <row r="15" spans="2:27" ht="15" x14ac:dyDescent="0.25">
      <c r="B15" s="145"/>
      <c r="C15" s="67" t="s">
        <v>23</v>
      </c>
      <c r="D15" s="123">
        <v>6837</v>
      </c>
      <c r="E15" s="55">
        <v>6710</v>
      </c>
      <c r="F15" s="55">
        <v>6562</v>
      </c>
      <c r="G15" s="55">
        <v>6374</v>
      </c>
      <c r="H15" s="55">
        <v>6134</v>
      </c>
      <c r="I15" s="55">
        <v>5871</v>
      </c>
      <c r="J15" s="55">
        <v>5598</v>
      </c>
      <c r="K15" s="55">
        <v>5556</v>
      </c>
      <c r="L15" s="55">
        <v>5417</v>
      </c>
      <c r="M15" s="55">
        <v>5426</v>
      </c>
      <c r="N15" s="55">
        <v>5426</v>
      </c>
      <c r="O15" s="55">
        <v>5358</v>
      </c>
      <c r="P15" s="56">
        <v>5337</v>
      </c>
      <c r="Q15" s="55">
        <v>5326</v>
      </c>
      <c r="R15" s="295">
        <v>5223</v>
      </c>
      <c r="S15" s="347">
        <v>5208</v>
      </c>
      <c r="T15" s="363">
        <f>4694+531</f>
        <v>5225</v>
      </c>
      <c r="U15" s="57">
        <v>5313</v>
      </c>
      <c r="V15" s="57">
        <v>5441</v>
      </c>
      <c r="W15" s="57">
        <v>5614</v>
      </c>
      <c r="X15" s="57">
        <v>5933</v>
      </c>
      <c r="Y15" s="27">
        <f>AVERAGE(O17:T17)</f>
        <v>0.78469235551263694</v>
      </c>
      <c r="Z15" s="20" t="s">
        <v>78</v>
      </c>
      <c r="AA15" s="20"/>
    </row>
    <row r="16" spans="2:27" ht="15" x14ac:dyDescent="0.25">
      <c r="B16" s="145"/>
      <c r="C16" s="128" t="s">
        <v>24</v>
      </c>
      <c r="D16" s="124">
        <v>1522</v>
      </c>
      <c r="E16" s="71">
        <v>1515</v>
      </c>
      <c r="F16" s="71">
        <v>1473</v>
      </c>
      <c r="G16" s="71">
        <v>1463</v>
      </c>
      <c r="H16" s="71">
        <v>1456</v>
      </c>
      <c r="I16" s="71">
        <v>1516</v>
      </c>
      <c r="J16" s="71">
        <v>1401</v>
      </c>
      <c r="K16" s="71">
        <f t="shared" ref="K16:O16" si="12">K14-K15</f>
        <v>1377</v>
      </c>
      <c r="L16" s="71">
        <f t="shared" si="12"/>
        <v>1376</v>
      </c>
      <c r="M16" s="71">
        <f t="shared" si="12"/>
        <v>1413</v>
      </c>
      <c r="N16" s="71">
        <f t="shared" si="12"/>
        <v>1473</v>
      </c>
      <c r="O16" s="71">
        <f t="shared" si="12"/>
        <v>1539</v>
      </c>
      <c r="P16" s="72">
        <v>1505</v>
      </c>
      <c r="Q16" s="71">
        <v>1464</v>
      </c>
      <c r="R16" s="296">
        <v>1379</v>
      </c>
      <c r="S16" s="348">
        <v>1397</v>
      </c>
      <c r="T16" s="364">
        <v>1412</v>
      </c>
      <c r="U16" s="73">
        <v>1436</v>
      </c>
      <c r="V16" s="73">
        <v>1470</v>
      </c>
      <c r="W16" s="73">
        <v>1517</v>
      </c>
      <c r="X16" s="73">
        <v>1603</v>
      </c>
      <c r="Y16" s="10"/>
      <c r="Z16" s="20"/>
      <c r="AA16" s="20"/>
    </row>
    <row r="17" spans="2:28" ht="15.75" thickBot="1" x14ac:dyDescent="0.3">
      <c r="B17" s="146"/>
      <c r="C17" s="129" t="s">
        <v>43</v>
      </c>
      <c r="D17" s="125">
        <f t="shared" ref="D17:L17" si="13">D15/D14</f>
        <v>0.81792080392391431</v>
      </c>
      <c r="E17" s="74">
        <f t="shared" si="13"/>
        <v>0.8158054711246201</v>
      </c>
      <c r="F17" s="74">
        <f t="shared" si="13"/>
        <v>0.81667703795892965</v>
      </c>
      <c r="G17" s="74">
        <f t="shared" si="13"/>
        <v>0.81332142401429119</v>
      </c>
      <c r="H17" s="74">
        <f t="shared" si="13"/>
        <v>0.80816864295125168</v>
      </c>
      <c r="I17" s="75">
        <f t="shared" si="13"/>
        <v>0.79477460403411393</v>
      </c>
      <c r="J17" s="75">
        <f t="shared" si="13"/>
        <v>0.7998285469352765</v>
      </c>
      <c r="K17" s="75">
        <f t="shared" si="13"/>
        <v>0.80138468195586321</v>
      </c>
      <c r="L17" s="75">
        <f t="shared" si="13"/>
        <v>0.797438539673193</v>
      </c>
      <c r="M17" s="75">
        <f t="shared" ref="M17" si="14">M15/M14</f>
        <v>0.79339084661500214</v>
      </c>
      <c r="N17" s="75">
        <f>N15/N14</f>
        <v>0.78649079576750258</v>
      </c>
      <c r="O17" s="75">
        <f t="shared" ref="O17:T17" si="15">O15/O14</f>
        <v>0.77685950413223137</v>
      </c>
      <c r="P17" s="76">
        <f t="shared" si="15"/>
        <v>0.78003507746273015</v>
      </c>
      <c r="Q17" s="264">
        <f t="shared" si="15"/>
        <v>0.78438880706921943</v>
      </c>
      <c r="R17" s="297">
        <f t="shared" si="15"/>
        <v>0.79112390184792492</v>
      </c>
      <c r="S17" s="349">
        <f t="shared" si="15"/>
        <v>0.78849356548069649</v>
      </c>
      <c r="T17" s="365">
        <f t="shared" si="15"/>
        <v>0.7872532770830194</v>
      </c>
      <c r="U17" s="77">
        <f t="shared" ref="U17:V17" si="16">U15/U14</f>
        <v>0.78722773744258412</v>
      </c>
      <c r="V17" s="77">
        <f t="shared" si="16"/>
        <v>0.78729561568513962</v>
      </c>
      <c r="W17" s="77">
        <f t="shared" ref="W17:X17" si="17">W15/W14</f>
        <v>0.78726686299256765</v>
      </c>
      <c r="X17" s="77">
        <f t="shared" si="17"/>
        <v>0.7872876857749469</v>
      </c>
      <c r="Y17" s="25"/>
      <c r="Z17" s="47"/>
      <c r="AA17" s="47"/>
    </row>
    <row r="18" spans="2:28" ht="15.75" thickBot="1" x14ac:dyDescent="0.3">
      <c r="B18" s="40"/>
      <c r="C18" s="40"/>
      <c r="D18" s="65">
        <f>D20/D19</f>
        <v>4.9582770322540715E-2</v>
      </c>
      <c r="E18" s="65">
        <f t="shared" ref="E18:T18" si="18">E20/E19</f>
        <v>5.2920508282038412E-2</v>
      </c>
      <c r="F18" s="65">
        <f t="shared" si="18"/>
        <v>6.0175760609600087E-2</v>
      </c>
      <c r="G18" s="65">
        <f t="shared" si="18"/>
        <v>6.3080710641873899E-2</v>
      </c>
      <c r="H18" s="65">
        <f t="shared" si="18"/>
        <v>6.0168654562029932E-2</v>
      </c>
      <c r="I18" s="65">
        <f t="shared" si="18"/>
        <v>6.3019334713744046E-2</v>
      </c>
      <c r="J18" s="65">
        <f t="shared" si="18"/>
        <v>6.2731531733415502E-2</v>
      </c>
      <c r="K18" s="65">
        <f t="shared" si="18"/>
        <v>6.580659150043365E-2</v>
      </c>
      <c r="L18" s="65">
        <f t="shared" si="18"/>
        <v>6.9636388031665095E-2</v>
      </c>
      <c r="M18" s="65">
        <f t="shared" si="18"/>
        <v>7.5176254608845902E-2</v>
      </c>
      <c r="N18" s="65">
        <f t="shared" si="18"/>
        <v>7.791325204877074E-2</v>
      </c>
      <c r="O18" s="65">
        <f t="shared" si="18"/>
        <v>8.1626473981817146E-2</v>
      </c>
      <c r="P18" s="65">
        <f t="shared" si="18"/>
        <v>8.4578006783198545E-2</v>
      </c>
      <c r="Q18" s="65">
        <f t="shared" si="18"/>
        <v>8.7782991685189757E-2</v>
      </c>
      <c r="R18" s="300">
        <f t="shared" si="18"/>
        <v>8.4223845871260056E-2</v>
      </c>
      <c r="S18" s="352">
        <f t="shared" si="18"/>
        <v>8.5478813218621857E-2</v>
      </c>
      <c r="T18" s="368">
        <f t="shared" si="18"/>
        <v>8.3300524417707369E-2</v>
      </c>
      <c r="U18" s="65">
        <f t="shared" ref="U18:V18" si="19">U20/U19</f>
        <v>8.3625590021540158E-2</v>
      </c>
      <c r="V18" s="65">
        <f t="shared" si="19"/>
        <v>8.3984491500149125E-2</v>
      </c>
      <c r="W18" s="65">
        <f t="shared" ref="W18:X18" si="20">W20/W19</f>
        <v>8.3890099934886622E-2</v>
      </c>
      <c r="X18" s="65">
        <f t="shared" si="20"/>
        <v>8.3298923124315888E-2</v>
      </c>
      <c r="Y18" s="29"/>
      <c r="Z18" s="20"/>
      <c r="AA18" s="20"/>
    </row>
    <row r="19" spans="2:28" ht="15" x14ac:dyDescent="0.25">
      <c r="B19" s="147" t="s">
        <v>33</v>
      </c>
      <c r="C19" s="66" t="s">
        <v>26</v>
      </c>
      <c r="D19" s="130">
        <v>193898</v>
      </c>
      <c r="E19" s="61">
        <v>189265</v>
      </c>
      <c r="F19" s="61">
        <v>179790</v>
      </c>
      <c r="G19" s="61">
        <v>168974</v>
      </c>
      <c r="H19" s="61">
        <v>157956</v>
      </c>
      <c r="I19" s="61">
        <v>148748</v>
      </c>
      <c r="J19" s="61">
        <v>142799</v>
      </c>
      <c r="K19" s="61">
        <v>138360</v>
      </c>
      <c r="L19" s="61">
        <v>134154</v>
      </c>
      <c r="M19" s="61">
        <v>129642</v>
      </c>
      <c r="N19" s="61">
        <v>125075</v>
      </c>
      <c r="O19" s="61">
        <v>122203</v>
      </c>
      <c r="P19" s="62">
        <v>122656</v>
      </c>
      <c r="Q19" s="61">
        <v>121470</v>
      </c>
      <c r="R19" s="299">
        <f>122495</f>
        <v>122495</v>
      </c>
      <c r="S19" s="351">
        <v>124370</v>
      </c>
      <c r="T19" s="367">
        <v>126998</v>
      </c>
      <c r="U19" s="63">
        <v>128597</v>
      </c>
      <c r="V19" s="63">
        <v>134120</v>
      </c>
      <c r="W19" s="63">
        <v>141292</v>
      </c>
      <c r="X19" s="63">
        <v>152571</v>
      </c>
      <c r="Y19" s="10"/>
      <c r="Z19" s="20" t="s">
        <v>79</v>
      </c>
      <c r="AA19" s="20"/>
    </row>
    <row r="20" spans="2:28" ht="15" x14ac:dyDescent="0.25">
      <c r="B20" s="145"/>
      <c r="C20" s="67" t="s">
        <v>25</v>
      </c>
      <c r="D20" s="123">
        <v>9614</v>
      </c>
      <c r="E20" s="55">
        <v>10016</v>
      </c>
      <c r="F20" s="55">
        <v>10819</v>
      </c>
      <c r="G20" s="55">
        <v>10659</v>
      </c>
      <c r="H20" s="55">
        <v>9504</v>
      </c>
      <c r="I20" s="55">
        <v>9374</v>
      </c>
      <c r="J20" s="55">
        <v>8958</v>
      </c>
      <c r="K20" s="55">
        <v>9105</v>
      </c>
      <c r="L20" s="55">
        <v>9342</v>
      </c>
      <c r="M20" s="55">
        <v>9746</v>
      </c>
      <c r="N20" s="55">
        <v>9745</v>
      </c>
      <c r="O20" s="55">
        <v>9975</v>
      </c>
      <c r="P20" s="56">
        <v>10374</v>
      </c>
      <c r="Q20" s="55">
        <v>10663</v>
      </c>
      <c r="R20" s="295">
        <v>10317</v>
      </c>
      <c r="S20" s="347">
        <v>10631</v>
      </c>
      <c r="T20" s="363">
        <v>10579</v>
      </c>
      <c r="U20" s="57">
        <v>10754</v>
      </c>
      <c r="V20" s="57">
        <v>11264</v>
      </c>
      <c r="W20" s="57">
        <v>11853</v>
      </c>
      <c r="X20" s="57">
        <v>12709</v>
      </c>
      <c r="Y20" s="30">
        <f>SUM(O20:T20)/SUM(O19:T19)</f>
        <v>8.4490240370066139E-2</v>
      </c>
      <c r="Z20" s="20" t="s">
        <v>60</v>
      </c>
      <c r="AA20" s="20"/>
    </row>
    <row r="21" spans="2:28" ht="15" x14ac:dyDescent="0.25">
      <c r="B21" s="145"/>
      <c r="C21" s="233" t="s">
        <v>22</v>
      </c>
      <c r="D21" s="234">
        <v>16670</v>
      </c>
      <c r="E21" s="235">
        <v>16550</v>
      </c>
      <c r="F21" s="235">
        <v>16283</v>
      </c>
      <c r="G21" s="235">
        <v>15759</v>
      </c>
      <c r="H21" s="235">
        <v>15053</v>
      </c>
      <c r="I21" s="235">
        <v>14464</v>
      </c>
      <c r="J21" s="235">
        <v>13915</v>
      </c>
      <c r="K21" s="235">
        <v>13540</v>
      </c>
      <c r="L21" s="235">
        <v>13220</v>
      </c>
      <c r="M21" s="235">
        <v>12839</v>
      </c>
      <c r="N21" s="235">
        <v>12622</v>
      </c>
      <c r="O21" s="235">
        <v>12609</v>
      </c>
      <c r="P21" s="236">
        <f>P22+P23</f>
        <v>12356</v>
      </c>
      <c r="Q21" s="236">
        <f>Q22+Q23</f>
        <v>12436</v>
      </c>
      <c r="R21" s="294">
        <f t="shared" ref="R21:U21" si="21">R22+R23</f>
        <v>12474</v>
      </c>
      <c r="S21" s="346">
        <f t="shared" si="21"/>
        <v>12484</v>
      </c>
      <c r="T21" s="362">
        <f t="shared" si="21"/>
        <v>12704</v>
      </c>
      <c r="U21" s="237">
        <f t="shared" si="21"/>
        <v>12915</v>
      </c>
      <c r="V21" s="237">
        <f t="shared" ref="V21:W21" si="22">V22+V23</f>
        <v>13527</v>
      </c>
      <c r="W21" s="237">
        <f t="shared" si="22"/>
        <v>14234</v>
      </c>
      <c r="X21" s="237">
        <f t="shared" ref="X21" si="23">X22+X23</f>
        <v>15262</v>
      </c>
      <c r="Y21" s="17"/>
      <c r="Z21" s="20" t="s">
        <v>79</v>
      </c>
      <c r="AA21" s="20"/>
    </row>
    <row r="22" spans="2:28" ht="15" x14ac:dyDescent="0.25">
      <c r="B22" s="145"/>
      <c r="C22" s="67" t="s">
        <v>23</v>
      </c>
      <c r="D22" s="123">
        <v>13387</v>
      </c>
      <c r="E22" s="55">
        <v>13473</v>
      </c>
      <c r="F22" s="55">
        <v>13247</v>
      </c>
      <c r="G22" s="55">
        <v>12807</v>
      </c>
      <c r="H22" s="55">
        <v>12237</v>
      </c>
      <c r="I22" s="55">
        <v>11605</v>
      </c>
      <c r="J22" s="55">
        <v>11183</v>
      </c>
      <c r="K22" s="55">
        <v>10874</v>
      </c>
      <c r="L22" s="55">
        <v>10480</v>
      </c>
      <c r="M22" s="55">
        <v>10230</v>
      </c>
      <c r="N22" s="55">
        <v>9957</v>
      </c>
      <c r="O22" s="55">
        <v>9893</v>
      </c>
      <c r="P22" s="56">
        <v>9764</v>
      </c>
      <c r="Q22" s="55">
        <v>9598</v>
      </c>
      <c r="R22" s="295">
        <v>9644</v>
      </c>
      <c r="S22" s="347">
        <v>9715</v>
      </c>
      <c r="T22" s="363">
        <f>8610+1163</f>
        <v>9773</v>
      </c>
      <c r="U22" s="57">
        <v>9935</v>
      </c>
      <c r="V22" s="57">
        <v>10406</v>
      </c>
      <c r="W22" s="57">
        <v>10950</v>
      </c>
      <c r="X22" s="57">
        <v>11741</v>
      </c>
      <c r="Y22" s="27">
        <f>AVERAGE(O24:T24)</f>
        <v>0.77787045180901548</v>
      </c>
      <c r="Z22" s="20" t="s">
        <v>78</v>
      </c>
      <c r="AA22" s="20"/>
    </row>
    <row r="23" spans="2:28" ht="15" x14ac:dyDescent="0.25">
      <c r="B23" s="145"/>
      <c r="C23" s="128" t="s">
        <v>24</v>
      </c>
      <c r="D23" s="124">
        <v>3283</v>
      </c>
      <c r="E23" s="71">
        <v>3077</v>
      </c>
      <c r="F23" s="71">
        <v>3036</v>
      </c>
      <c r="G23" s="71">
        <v>2952</v>
      </c>
      <c r="H23" s="71">
        <v>2816</v>
      </c>
      <c r="I23" s="71">
        <v>2859</v>
      </c>
      <c r="J23" s="71">
        <v>2732</v>
      </c>
      <c r="K23" s="71">
        <f t="shared" ref="K23:O23" si="24">K21-K22</f>
        <v>2666</v>
      </c>
      <c r="L23" s="71">
        <f t="shared" si="24"/>
        <v>2740</v>
      </c>
      <c r="M23" s="71">
        <f t="shared" si="24"/>
        <v>2609</v>
      </c>
      <c r="N23" s="71">
        <f t="shared" si="24"/>
        <v>2665</v>
      </c>
      <c r="O23" s="71">
        <f t="shared" si="24"/>
        <v>2716</v>
      </c>
      <c r="P23" s="72">
        <v>2592</v>
      </c>
      <c r="Q23" s="71">
        <v>2838</v>
      </c>
      <c r="R23" s="296">
        <v>2830</v>
      </c>
      <c r="S23" s="348">
        <v>2769</v>
      </c>
      <c r="T23" s="364">
        <v>2931</v>
      </c>
      <c r="U23" s="73">
        <v>2980</v>
      </c>
      <c r="V23" s="73">
        <v>3121</v>
      </c>
      <c r="W23" s="73">
        <v>3284</v>
      </c>
      <c r="X23" s="73">
        <v>3521</v>
      </c>
      <c r="Y23" s="31"/>
      <c r="Z23" s="31"/>
      <c r="AA23" s="31"/>
      <c r="AB23" s="31"/>
    </row>
    <row r="24" spans="2:28" ht="15.75" thickBot="1" x14ac:dyDescent="0.3">
      <c r="B24" s="146"/>
      <c r="C24" s="129" t="s">
        <v>43</v>
      </c>
      <c r="D24" s="125">
        <f t="shared" ref="D24:M24" si="25">D22/D21</f>
        <v>0.80305938812237554</v>
      </c>
      <c r="E24" s="74">
        <f t="shared" si="25"/>
        <v>0.81407854984894257</v>
      </c>
      <c r="F24" s="74">
        <f t="shared" si="25"/>
        <v>0.81354787201375667</v>
      </c>
      <c r="G24" s="74">
        <f t="shared" si="25"/>
        <v>0.81267846944603084</v>
      </c>
      <c r="H24" s="74">
        <f t="shared" si="25"/>
        <v>0.81292765561682057</v>
      </c>
      <c r="I24" s="74">
        <f t="shared" si="25"/>
        <v>0.80233683628318586</v>
      </c>
      <c r="J24" s="74">
        <f t="shared" si="25"/>
        <v>0.80366510959396331</v>
      </c>
      <c r="K24" s="74">
        <f t="shared" si="25"/>
        <v>0.80310192023633675</v>
      </c>
      <c r="L24" s="74">
        <f t="shared" si="25"/>
        <v>0.79273827534039332</v>
      </c>
      <c r="M24" s="74">
        <f t="shared" si="25"/>
        <v>0.79679102733857776</v>
      </c>
      <c r="N24" s="74">
        <f t="shared" ref="N24:P24" si="26">N22/N21</f>
        <v>0.78886071937886226</v>
      </c>
      <c r="O24" s="74">
        <f t="shared" si="26"/>
        <v>0.78459830279958764</v>
      </c>
      <c r="P24" s="76">
        <f t="shared" si="26"/>
        <v>0.79022337325995473</v>
      </c>
      <c r="Q24" s="264">
        <f t="shared" ref="Q24:V24" si="27">Q22/Q21</f>
        <v>0.77179157285300737</v>
      </c>
      <c r="R24" s="297">
        <f t="shared" si="27"/>
        <v>0.77312810646143981</v>
      </c>
      <c r="S24" s="353">
        <f t="shared" si="27"/>
        <v>0.77819609099647546</v>
      </c>
      <c r="T24" s="365">
        <f t="shared" si="27"/>
        <v>0.76928526448362722</v>
      </c>
      <c r="U24" s="77">
        <f t="shared" si="27"/>
        <v>0.76926054974835467</v>
      </c>
      <c r="V24" s="77">
        <f t="shared" si="27"/>
        <v>0.76927626229023438</v>
      </c>
      <c r="W24" s="77">
        <f t="shared" ref="W24:X24" si="28">W22/W21</f>
        <v>0.76928481101587742</v>
      </c>
      <c r="X24" s="77">
        <f t="shared" si="28"/>
        <v>0.7692962914427991</v>
      </c>
      <c r="Y24" s="20"/>
    </row>
    <row r="25" spans="2:28" ht="15.75" thickBot="1" x14ac:dyDescent="0.3">
      <c r="B25" s="41"/>
      <c r="C25" s="40"/>
      <c r="D25" s="68"/>
      <c r="E25" s="68"/>
      <c r="F25" s="68"/>
      <c r="G25" s="68"/>
      <c r="H25" s="68"/>
      <c r="I25" s="68"/>
      <c r="J25" s="68"/>
      <c r="K25" s="68"/>
      <c r="L25" s="68"/>
      <c r="M25" s="59"/>
      <c r="N25" s="59"/>
      <c r="O25" s="59"/>
      <c r="P25" s="60"/>
      <c r="Q25" s="59"/>
      <c r="R25" s="298"/>
      <c r="S25" s="350"/>
      <c r="T25" s="366"/>
      <c r="U25" s="59"/>
      <c r="V25" s="59"/>
      <c r="W25" s="59"/>
      <c r="X25" s="59"/>
      <c r="Y25" s="29"/>
    </row>
    <row r="26" spans="2:28" ht="15" x14ac:dyDescent="0.25">
      <c r="B26" s="148" t="s">
        <v>34</v>
      </c>
      <c r="C26" s="66" t="s">
        <v>26</v>
      </c>
      <c r="D26" s="130">
        <v>2182</v>
      </c>
      <c r="E26" s="61">
        <v>2275</v>
      </c>
      <c r="F26" s="61">
        <v>2312</v>
      </c>
      <c r="G26" s="61">
        <v>2859</v>
      </c>
      <c r="H26" s="61">
        <v>2985</v>
      </c>
      <c r="I26" s="61">
        <v>2940</v>
      </c>
      <c r="J26" s="61">
        <v>2956</v>
      </c>
      <c r="K26" s="61">
        <v>2977</v>
      </c>
      <c r="L26" s="61">
        <v>2975</v>
      </c>
      <c r="M26" s="61">
        <v>3048</v>
      </c>
      <c r="N26" s="61">
        <v>3034</v>
      </c>
      <c r="O26" s="61">
        <v>3079</v>
      </c>
      <c r="P26" s="62">
        <v>3149</v>
      </c>
      <c r="Q26" s="61">
        <v>3197</v>
      </c>
      <c r="R26" s="299">
        <v>2993</v>
      </c>
      <c r="S26" s="351">
        <v>2978</v>
      </c>
      <c r="T26" s="367">
        <v>2945</v>
      </c>
      <c r="U26" s="63">
        <v>2860.64523300769</v>
      </c>
      <c r="V26" s="63">
        <v>2688.7123054554399</v>
      </c>
      <c r="W26" s="63">
        <v>3334.1533603214698</v>
      </c>
      <c r="X26" s="63">
        <v>3922.8584415196501</v>
      </c>
      <c r="Y26" s="17"/>
      <c r="Z26" s="20" t="s">
        <v>80</v>
      </c>
      <c r="AA26" s="20"/>
    </row>
    <row r="27" spans="2:28" ht="15" x14ac:dyDescent="0.25">
      <c r="B27" s="145"/>
      <c r="C27" s="67" t="s">
        <v>25</v>
      </c>
      <c r="D27" s="123">
        <v>179</v>
      </c>
      <c r="E27" s="55">
        <v>197</v>
      </c>
      <c r="F27" s="55">
        <v>17</v>
      </c>
      <c r="G27" s="55"/>
      <c r="H27" s="55"/>
      <c r="I27" s="55"/>
      <c r="J27" s="64"/>
      <c r="K27" s="64"/>
      <c r="L27" s="64"/>
      <c r="M27" s="64"/>
      <c r="N27" s="64"/>
      <c r="O27" s="55"/>
      <c r="P27" s="69"/>
      <c r="Q27" s="55"/>
      <c r="R27" s="295"/>
      <c r="S27" s="347"/>
      <c r="T27" s="363"/>
      <c r="U27" s="55"/>
      <c r="V27" s="55"/>
      <c r="W27" s="55"/>
      <c r="X27" s="55"/>
      <c r="Y27" s="20"/>
    </row>
    <row r="28" spans="2:28" ht="15" x14ac:dyDescent="0.25">
      <c r="B28" s="145"/>
      <c r="C28" s="233" t="s">
        <v>22</v>
      </c>
      <c r="D28" s="234">
        <f>D29+D30</f>
        <v>849</v>
      </c>
      <c r="E28" s="235">
        <f>E29+E30</f>
        <v>911</v>
      </c>
      <c r="F28" s="235">
        <v>860</v>
      </c>
      <c r="G28" s="235">
        <v>1011</v>
      </c>
      <c r="H28" s="235">
        <v>1035</v>
      </c>
      <c r="I28" s="235">
        <v>1070</v>
      </c>
      <c r="J28" s="235">
        <v>1071</v>
      </c>
      <c r="K28" s="235">
        <v>1039</v>
      </c>
      <c r="L28" s="235">
        <v>1064</v>
      </c>
      <c r="M28" s="235">
        <v>1110</v>
      </c>
      <c r="N28" s="235">
        <v>1086</v>
      </c>
      <c r="O28" s="235">
        <v>1066</v>
      </c>
      <c r="P28" s="236">
        <f>P29+P30</f>
        <v>1069</v>
      </c>
      <c r="Q28" s="236">
        <f>Q29+Q30</f>
        <v>902</v>
      </c>
      <c r="R28" s="294">
        <f t="shared" ref="R28:U28" si="29">R29+R30</f>
        <v>881</v>
      </c>
      <c r="S28" s="346">
        <f t="shared" si="29"/>
        <v>890</v>
      </c>
      <c r="T28" s="362">
        <f t="shared" si="29"/>
        <v>902</v>
      </c>
      <c r="U28" s="237">
        <f t="shared" si="29"/>
        <v>906.7918506529486</v>
      </c>
      <c r="V28" s="237">
        <f t="shared" ref="V28:W28" si="30">V29+V30</f>
        <v>1007.2728351513767</v>
      </c>
      <c r="W28" s="237">
        <f t="shared" si="30"/>
        <v>1051.8187881188328</v>
      </c>
      <c r="X28" s="237">
        <f t="shared" ref="X28" si="31">X29+X30</f>
        <v>1201.500276485815</v>
      </c>
      <c r="Y28" s="30"/>
      <c r="Z28" s="20" t="s">
        <v>80</v>
      </c>
      <c r="AA28" s="20"/>
    </row>
    <row r="29" spans="2:28" ht="15" x14ac:dyDescent="0.25">
      <c r="B29" s="145"/>
      <c r="C29" s="67" t="s">
        <v>23</v>
      </c>
      <c r="D29" s="123">
        <v>484</v>
      </c>
      <c r="E29" s="55">
        <v>460</v>
      </c>
      <c r="F29" s="55">
        <v>357</v>
      </c>
      <c r="G29" s="55">
        <v>480</v>
      </c>
      <c r="H29" s="55">
        <v>496</v>
      </c>
      <c r="I29" s="55">
        <v>526</v>
      </c>
      <c r="J29" s="64">
        <v>563</v>
      </c>
      <c r="K29" s="64">
        <v>571</v>
      </c>
      <c r="L29" s="64">
        <v>597</v>
      </c>
      <c r="M29" s="64">
        <v>674</v>
      </c>
      <c r="N29" s="64">
        <v>608</v>
      </c>
      <c r="O29" s="64">
        <v>640</v>
      </c>
      <c r="P29" s="56">
        <v>646</v>
      </c>
      <c r="Q29" s="55">
        <v>477</v>
      </c>
      <c r="R29" s="295">
        <v>492</v>
      </c>
      <c r="S29" s="347">
        <v>490</v>
      </c>
      <c r="T29" s="363">
        <f>440+41</f>
        <v>481</v>
      </c>
      <c r="U29" s="57">
        <v>483.55529951670542</v>
      </c>
      <c r="V29" s="57">
        <v>537.13773138338377</v>
      </c>
      <c r="W29" s="57">
        <v>560.89228058221568</v>
      </c>
      <c r="X29" s="57">
        <v>640.71134477791247</v>
      </c>
      <c r="Y29" s="27">
        <f>AVERAGE(O31:T31)</f>
        <v>0.56263011268954422</v>
      </c>
      <c r="Z29" s="20" t="s">
        <v>78</v>
      </c>
      <c r="AA29" s="20"/>
    </row>
    <row r="30" spans="2:28" ht="15" x14ac:dyDescent="0.25">
      <c r="B30" s="145"/>
      <c r="C30" s="128" t="s">
        <v>24</v>
      </c>
      <c r="D30" s="124">
        <v>365</v>
      </c>
      <c r="E30" s="71">
        <v>451</v>
      </c>
      <c r="F30" s="71">
        <v>503</v>
      </c>
      <c r="G30" s="71">
        <v>531</v>
      </c>
      <c r="H30" s="71">
        <v>539</v>
      </c>
      <c r="I30" s="71">
        <v>544</v>
      </c>
      <c r="J30" s="78">
        <v>508</v>
      </c>
      <c r="K30" s="78">
        <f t="shared" ref="K30:M30" si="32">K28-K29</f>
        <v>468</v>
      </c>
      <c r="L30" s="78">
        <f t="shared" si="32"/>
        <v>467</v>
      </c>
      <c r="M30" s="78">
        <f t="shared" si="32"/>
        <v>436</v>
      </c>
      <c r="N30" s="78">
        <v>478</v>
      </c>
      <c r="O30" s="78">
        <f>O28-O29</f>
        <v>426</v>
      </c>
      <c r="P30" s="79">
        <v>423</v>
      </c>
      <c r="Q30" s="71">
        <v>425</v>
      </c>
      <c r="R30" s="296">
        <v>389</v>
      </c>
      <c r="S30" s="348">
        <v>400</v>
      </c>
      <c r="T30" s="364">
        <v>421</v>
      </c>
      <c r="U30" s="73">
        <v>423.23655113624318</v>
      </c>
      <c r="V30" s="73">
        <v>470.13510376799292</v>
      </c>
      <c r="W30" s="73">
        <v>490.92650753661701</v>
      </c>
      <c r="X30" s="73">
        <v>560.78893170790263</v>
      </c>
      <c r="Y30" s="32"/>
      <c r="Z30" s="32"/>
      <c r="AA30" s="32"/>
      <c r="AB30" s="32"/>
    </row>
    <row r="31" spans="2:28" ht="15.75" thickBot="1" x14ac:dyDescent="0.3">
      <c r="B31" s="146"/>
      <c r="C31" s="129" t="s">
        <v>43</v>
      </c>
      <c r="D31" s="125">
        <f t="shared" ref="D31:L31" si="33">D29/D28</f>
        <v>0.57008244994110724</v>
      </c>
      <c r="E31" s="74">
        <f t="shared" si="33"/>
        <v>0.50493962678375415</v>
      </c>
      <c r="F31" s="74">
        <f t="shared" si="33"/>
        <v>0.41511627906976745</v>
      </c>
      <c r="G31" s="74">
        <f t="shared" si="33"/>
        <v>0.47477744807121663</v>
      </c>
      <c r="H31" s="74">
        <f t="shared" si="33"/>
        <v>0.47922705314009661</v>
      </c>
      <c r="I31" s="75">
        <f t="shared" si="33"/>
        <v>0.49158878504672898</v>
      </c>
      <c r="J31" s="75">
        <f t="shared" si="33"/>
        <v>0.52567693744164334</v>
      </c>
      <c r="K31" s="75">
        <f t="shared" si="33"/>
        <v>0.54956689124157843</v>
      </c>
      <c r="L31" s="75">
        <f t="shared" si="33"/>
        <v>0.56109022556390975</v>
      </c>
      <c r="M31" s="75">
        <f t="shared" ref="M31" si="34">M29/M28</f>
        <v>0.60720720720720722</v>
      </c>
      <c r="N31" s="75">
        <f>N29/N28</f>
        <v>0.55985267034990793</v>
      </c>
      <c r="O31" s="75">
        <f t="shared" ref="O31:P31" si="35">O29/O28</f>
        <v>0.60037523452157604</v>
      </c>
      <c r="P31" s="76">
        <f t="shared" si="35"/>
        <v>0.60430308699719359</v>
      </c>
      <c r="Q31" s="264">
        <f>Q29/Q28</f>
        <v>0.52882483370288247</v>
      </c>
      <c r="R31" s="297">
        <f t="shared" ref="R31:T31" si="36">R29/R28</f>
        <v>0.55845629965947785</v>
      </c>
      <c r="S31" s="349">
        <f t="shared" si="36"/>
        <v>0.550561797752809</v>
      </c>
      <c r="T31" s="365">
        <f t="shared" si="36"/>
        <v>0.53325942350332589</v>
      </c>
      <c r="U31" s="77">
        <f t="shared" ref="U31:V31" si="37">U29/U28</f>
        <v>0.533259423503326</v>
      </c>
      <c r="V31" s="77">
        <f t="shared" si="37"/>
        <v>0.53325942350332589</v>
      </c>
      <c r="W31" s="77">
        <f t="shared" ref="W31:X31" si="38">W29/W28</f>
        <v>0.53325942350332589</v>
      </c>
      <c r="X31" s="77">
        <f t="shared" si="38"/>
        <v>0.533259423503326</v>
      </c>
      <c r="Z31" s="7"/>
      <c r="AA31" s="7"/>
    </row>
    <row r="32" spans="2:28" ht="15.75" thickBot="1" x14ac:dyDescent="0.3">
      <c r="B32" s="40"/>
      <c r="C32" s="40"/>
      <c r="D32" s="37"/>
      <c r="E32" s="37"/>
      <c r="F32" s="37"/>
      <c r="G32" s="37"/>
      <c r="H32" s="37"/>
      <c r="I32" s="37"/>
      <c r="J32" s="38"/>
      <c r="K32" s="38"/>
      <c r="L32" s="38"/>
      <c r="M32" s="38"/>
      <c r="N32" s="36"/>
      <c r="O32" s="36"/>
      <c r="P32" s="44"/>
      <c r="Q32" s="39"/>
      <c r="R32" s="301"/>
      <c r="S32" s="354"/>
      <c r="T32" s="369"/>
      <c r="U32" s="36"/>
      <c r="V32" s="36"/>
      <c r="W32" s="36"/>
      <c r="X32" s="36"/>
    </row>
    <row r="33" spans="2:29" ht="15.75" thickBot="1" x14ac:dyDescent="0.3">
      <c r="B33" s="107" t="s">
        <v>45</v>
      </c>
      <c r="C33" s="149" t="s">
        <v>26</v>
      </c>
      <c r="D33" s="150">
        <f>D12+D19+D26</f>
        <v>295901</v>
      </c>
      <c r="E33" s="150">
        <f t="shared" ref="E33:N33" si="39">E12+E19+E26</f>
        <v>285559</v>
      </c>
      <c r="F33" s="150">
        <f t="shared" si="39"/>
        <v>271438</v>
      </c>
      <c r="G33" s="150">
        <f t="shared" si="39"/>
        <v>256904</v>
      </c>
      <c r="H33" s="150">
        <f t="shared" si="39"/>
        <v>241287</v>
      </c>
      <c r="I33" s="150">
        <f t="shared" si="39"/>
        <v>228399</v>
      </c>
      <c r="J33" s="150">
        <f>J12+J19+J26</f>
        <v>220646</v>
      </c>
      <c r="K33" s="150">
        <f t="shared" si="39"/>
        <v>215094</v>
      </c>
      <c r="L33" s="150">
        <f t="shared" si="39"/>
        <v>209416</v>
      </c>
      <c r="M33" s="150">
        <f t="shared" si="39"/>
        <v>206570</v>
      </c>
      <c r="N33" s="150">
        <f t="shared" si="39"/>
        <v>200951</v>
      </c>
      <c r="O33" s="150">
        <f t="shared" ref="O33:P33" si="40">O12+O19+O26</f>
        <v>196435</v>
      </c>
      <c r="P33" s="151">
        <f t="shared" si="40"/>
        <v>196480</v>
      </c>
      <c r="Q33" s="265">
        <f t="shared" ref="Q33:V33" si="41">Q12+Q19+Q26</f>
        <v>197443</v>
      </c>
      <c r="R33" s="151">
        <f t="shared" si="41"/>
        <v>199317</v>
      </c>
      <c r="S33" s="355">
        <f t="shared" si="41"/>
        <v>201177</v>
      </c>
      <c r="T33" s="370">
        <f>T12+T19+T26</f>
        <v>204728</v>
      </c>
      <c r="U33" s="152">
        <f>U12+U19+U26</f>
        <v>207106.6452330077</v>
      </c>
      <c r="V33" s="152">
        <f t="shared" si="41"/>
        <v>213680.71230545544</v>
      </c>
      <c r="W33" s="152">
        <f t="shared" ref="W33:X33" si="42">W12+W19+W26</f>
        <v>224074.15336032148</v>
      </c>
      <c r="X33" s="152">
        <f t="shared" si="42"/>
        <v>241411.85844151964</v>
      </c>
      <c r="Z33" s="22"/>
      <c r="AA33" s="22"/>
    </row>
    <row r="34" spans="2:29" ht="14.25" x14ac:dyDescent="0.2">
      <c r="B34" s="40"/>
      <c r="C34" s="40"/>
      <c r="P34" s="45"/>
      <c r="S34" s="303"/>
      <c r="Z34" s="7"/>
      <c r="AA34" s="7"/>
    </row>
    <row r="35" spans="2:29" ht="14.25" x14ac:dyDescent="0.2">
      <c r="B35" s="40"/>
      <c r="C35" s="40"/>
      <c r="N35" s="22"/>
      <c r="P35" s="45"/>
      <c r="S35" s="303"/>
      <c r="Y35" s="22"/>
    </row>
    <row r="36" spans="2:29" ht="14.25" x14ac:dyDescent="0.2">
      <c r="B36" s="40"/>
      <c r="C36" s="40"/>
      <c r="D36" s="43">
        <f>D40/D39</f>
        <v>0.15500564812199943</v>
      </c>
      <c r="E36" s="43">
        <f t="shared" ref="E36:N36" si="43">E40/E39</f>
        <v>0.1593385418491399</v>
      </c>
      <c r="F36" s="43">
        <f t="shared" si="43"/>
        <v>0.15887107917645432</v>
      </c>
      <c r="G36" s="43">
        <f t="shared" si="43"/>
        <v>0.15377410850561954</v>
      </c>
      <c r="H36" s="43">
        <f t="shared" si="43"/>
        <v>0.16160701852109735</v>
      </c>
      <c r="I36" s="43">
        <f t="shared" si="43"/>
        <v>0.16118777292576419</v>
      </c>
      <c r="J36" s="43">
        <f t="shared" si="43"/>
        <v>0.16261339169108044</v>
      </c>
      <c r="K36" s="43">
        <f t="shared" si="43"/>
        <v>0.16538734896943852</v>
      </c>
      <c r="L36" s="43">
        <f t="shared" si="43"/>
        <v>0.16763343183393528</v>
      </c>
      <c r="M36" s="43">
        <f t="shared" si="43"/>
        <v>0.16891314841632318</v>
      </c>
      <c r="N36" s="43">
        <f t="shared" si="43"/>
        <v>0.16587058735726548</v>
      </c>
      <c r="O36" s="43">
        <f>O40/O39</f>
        <v>0.16306936016591136</v>
      </c>
      <c r="P36" s="43">
        <f t="shared" ref="P36:S36" si="44">P40/P39</f>
        <v>0.17474919703398231</v>
      </c>
      <c r="Q36" s="248">
        <f>Q40/Q39</f>
        <v>0.15786745354493978</v>
      </c>
      <c r="R36" s="43">
        <f t="shared" si="44"/>
        <v>0.11464027772235745</v>
      </c>
      <c r="S36" s="356">
        <f t="shared" si="44"/>
        <v>0.1119080641965524</v>
      </c>
      <c r="T36" s="43">
        <f>T40/T39</f>
        <v>0.12300502950378203</v>
      </c>
      <c r="U36" s="43">
        <f>U40/U39</f>
        <v>0.12401416384999195</v>
      </c>
      <c r="V36" s="43">
        <f>V40/V39</f>
        <v>0.12484419605162639</v>
      </c>
      <c r="W36" s="43">
        <f>W40/W39</f>
        <v>0.12449799196787148</v>
      </c>
      <c r="X36" s="43">
        <f>X40/X39</f>
        <v>0.12301883824281276</v>
      </c>
    </row>
    <row r="37" spans="2:29" ht="15.75" thickBot="1" x14ac:dyDescent="0.3">
      <c r="B37" s="40"/>
      <c r="C37" s="40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46"/>
      <c r="R37" s="51"/>
      <c r="S37" s="303"/>
      <c r="V37" s="51" t="s">
        <v>82</v>
      </c>
      <c r="W37" s="51"/>
      <c r="X37" s="51"/>
    </row>
    <row r="38" spans="2:29" ht="15.75" thickBot="1" x14ac:dyDescent="0.3">
      <c r="B38" s="66"/>
      <c r="C38" s="107"/>
      <c r="D38" s="101">
        <v>2008</v>
      </c>
      <c r="E38" s="101">
        <v>2009</v>
      </c>
      <c r="F38" s="101">
        <v>2010</v>
      </c>
      <c r="G38" s="101">
        <v>2011</v>
      </c>
      <c r="H38" s="101">
        <v>2012</v>
      </c>
      <c r="I38" s="102">
        <v>2013</v>
      </c>
      <c r="J38" s="102">
        <v>2014</v>
      </c>
      <c r="K38" s="102">
        <v>2015</v>
      </c>
      <c r="L38" s="102">
        <v>2016</v>
      </c>
      <c r="M38" s="102">
        <v>2017</v>
      </c>
      <c r="N38" s="102">
        <v>2018</v>
      </c>
      <c r="O38" s="102">
        <v>2019</v>
      </c>
      <c r="P38" s="103">
        <v>2020</v>
      </c>
      <c r="Q38" s="254">
        <v>2021</v>
      </c>
      <c r="R38" s="103">
        <v>2022</v>
      </c>
      <c r="S38" s="357">
        <v>2023</v>
      </c>
      <c r="T38" s="360">
        <v>2024</v>
      </c>
      <c r="U38" s="104">
        <v>2025</v>
      </c>
      <c r="V38" s="104">
        <v>2026</v>
      </c>
      <c r="W38" s="104">
        <v>2027</v>
      </c>
      <c r="X38" s="104">
        <v>2027</v>
      </c>
    </row>
    <row r="39" spans="2:29" ht="15" x14ac:dyDescent="0.25">
      <c r="B39" s="128" t="s">
        <v>35</v>
      </c>
      <c r="C39" s="127" t="s">
        <v>18</v>
      </c>
      <c r="D39" s="122">
        <v>28328</v>
      </c>
      <c r="E39" s="97">
        <v>28543</v>
      </c>
      <c r="F39" s="97">
        <v>28948</v>
      </c>
      <c r="G39" s="97">
        <v>28828</v>
      </c>
      <c r="H39" s="97">
        <v>28724</v>
      </c>
      <c r="I39" s="97">
        <v>28625</v>
      </c>
      <c r="J39" s="106">
        <v>28331</v>
      </c>
      <c r="K39" s="106">
        <v>28140</v>
      </c>
      <c r="L39" s="106">
        <v>27411</v>
      </c>
      <c r="M39" s="106">
        <v>26931</v>
      </c>
      <c r="N39" s="106">
        <v>26798</v>
      </c>
      <c r="O39" s="106">
        <v>26038</v>
      </c>
      <c r="P39" s="98">
        <v>25219</v>
      </c>
      <c r="Q39" s="97">
        <v>25078</v>
      </c>
      <c r="R39" s="293">
        <f>25061</f>
        <v>25061</v>
      </c>
      <c r="S39" s="345">
        <v>25235</v>
      </c>
      <c r="T39" s="361">
        <v>25251</v>
      </c>
      <c r="U39" s="99">
        <v>24852</v>
      </c>
      <c r="V39" s="99">
        <v>24871</v>
      </c>
      <c r="W39" s="99">
        <v>24900</v>
      </c>
      <c r="X39" s="99">
        <v>25427</v>
      </c>
      <c r="Y39" s="27">
        <f>SUM(O39:T39)/SUM(K6:P6)</f>
        <v>5.7017214557292764E-2</v>
      </c>
      <c r="Z39" s="20" t="s">
        <v>51</v>
      </c>
      <c r="AA39" s="20"/>
      <c r="AC39" s="49"/>
    </row>
    <row r="40" spans="2:29" ht="15" x14ac:dyDescent="0.25">
      <c r="B40" s="145"/>
      <c r="C40" s="233" t="s">
        <v>22</v>
      </c>
      <c r="D40" s="234">
        <f t="shared" ref="D40:I40" si="45">D41+D42</f>
        <v>4391</v>
      </c>
      <c r="E40" s="235">
        <f t="shared" si="45"/>
        <v>4548</v>
      </c>
      <c r="F40" s="235">
        <f t="shared" si="45"/>
        <v>4599</v>
      </c>
      <c r="G40" s="235">
        <f t="shared" si="45"/>
        <v>4433</v>
      </c>
      <c r="H40" s="235">
        <f t="shared" si="45"/>
        <v>4642</v>
      </c>
      <c r="I40" s="235">
        <f t="shared" si="45"/>
        <v>4614</v>
      </c>
      <c r="J40" s="238">
        <v>4607</v>
      </c>
      <c r="K40" s="238">
        <v>4654</v>
      </c>
      <c r="L40" s="238">
        <v>4595</v>
      </c>
      <c r="M40" s="238">
        <v>4549</v>
      </c>
      <c r="N40" s="238">
        <f>SUM(N41:N42)</f>
        <v>4445</v>
      </c>
      <c r="O40" s="238">
        <f>O41+O42</f>
        <v>4246</v>
      </c>
      <c r="P40" s="238">
        <f>P41+P42</f>
        <v>4407</v>
      </c>
      <c r="Q40" s="238">
        <f>Q41+Q42</f>
        <v>3959</v>
      </c>
      <c r="R40" s="294">
        <f t="shared" ref="R40:U40" si="46">R41+R42</f>
        <v>2873</v>
      </c>
      <c r="S40" s="346">
        <f t="shared" si="46"/>
        <v>2824</v>
      </c>
      <c r="T40" s="362">
        <f t="shared" si="46"/>
        <v>3106</v>
      </c>
      <c r="U40" s="237">
        <f t="shared" si="46"/>
        <v>3082</v>
      </c>
      <c r="V40" s="237">
        <f t="shared" ref="V40:W40" si="47">V41+V42</f>
        <v>3105</v>
      </c>
      <c r="W40" s="237">
        <f t="shared" si="47"/>
        <v>3100</v>
      </c>
      <c r="X40" s="237">
        <f t="shared" ref="X40" si="48">X41+X42</f>
        <v>3128</v>
      </c>
      <c r="Y40" s="30">
        <f>SUM(O40:T40)/SUM(O39:T39)</f>
        <v>0.14099761657075888</v>
      </c>
      <c r="Z40" s="20" t="s">
        <v>50</v>
      </c>
      <c r="AA40" s="20"/>
      <c r="AC40" s="50"/>
    </row>
    <row r="41" spans="2:29" ht="15" x14ac:dyDescent="0.25">
      <c r="B41" s="145"/>
      <c r="C41" s="67" t="s">
        <v>23</v>
      </c>
      <c r="D41" s="123">
        <v>4145</v>
      </c>
      <c r="E41" s="55">
        <v>4274</v>
      </c>
      <c r="F41" s="55">
        <v>4326</v>
      </c>
      <c r="G41" s="55">
        <v>4075</v>
      </c>
      <c r="H41" s="55">
        <v>4291</v>
      </c>
      <c r="I41" s="55">
        <v>4243</v>
      </c>
      <c r="J41" s="64">
        <v>4298</v>
      </c>
      <c r="K41" s="64">
        <v>4357</v>
      </c>
      <c r="L41" s="64">
        <v>4223</v>
      </c>
      <c r="M41" s="64">
        <v>4163</v>
      </c>
      <c r="N41" s="64">
        <v>4081</v>
      </c>
      <c r="O41" s="80">
        <v>3939</v>
      </c>
      <c r="P41" s="70">
        <f>3939+201</f>
        <v>4140</v>
      </c>
      <c r="Q41" s="249">
        <v>3765</v>
      </c>
      <c r="R41" s="80">
        <v>2718</v>
      </c>
      <c r="S41" s="80">
        <v>2669</v>
      </c>
      <c r="T41" s="371">
        <f>2770+245-73</f>
        <v>2942</v>
      </c>
      <c r="U41" s="81">
        <v>2919</v>
      </c>
      <c r="V41" s="81">
        <v>2941</v>
      </c>
      <c r="W41" s="81">
        <v>2936</v>
      </c>
      <c r="X41" s="81">
        <v>2963</v>
      </c>
      <c r="Y41" s="27">
        <f>SUM(O41:T41)/SUM(O40:T40)</f>
        <v>0.94200326873686668</v>
      </c>
      <c r="Z41" s="20" t="s">
        <v>38</v>
      </c>
      <c r="AA41" s="20"/>
      <c r="AC41" s="24"/>
    </row>
    <row r="42" spans="2:29" ht="15" x14ac:dyDescent="0.25">
      <c r="B42" s="145"/>
      <c r="C42" s="128" t="s">
        <v>24</v>
      </c>
      <c r="D42" s="124">
        <v>246</v>
      </c>
      <c r="E42" s="71">
        <v>274</v>
      </c>
      <c r="F42" s="71">
        <v>273</v>
      </c>
      <c r="G42" s="71">
        <v>358</v>
      </c>
      <c r="H42" s="71">
        <v>351</v>
      </c>
      <c r="I42" s="71">
        <v>371</v>
      </c>
      <c r="J42" s="78">
        <v>309</v>
      </c>
      <c r="K42" s="78">
        <v>297</v>
      </c>
      <c r="L42" s="78">
        <v>372</v>
      </c>
      <c r="M42" s="78">
        <v>386</v>
      </c>
      <c r="N42" s="78">
        <v>364</v>
      </c>
      <c r="O42" s="82">
        <v>307</v>
      </c>
      <c r="P42" s="79">
        <f>249+18</f>
        <v>267</v>
      </c>
      <c r="Q42" s="250">
        <v>194</v>
      </c>
      <c r="R42" s="82">
        <v>155</v>
      </c>
      <c r="S42" s="82">
        <v>155</v>
      </c>
      <c r="T42" s="372">
        <f>157+7</f>
        <v>164</v>
      </c>
      <c r="U42" s="83">
        <v>163</v>
      </c>
      <c r="V42" s="83">
        <v>164</v>
      </c>
      <c r="W42" s="83">
        <v>164</v>
      </c>
      <c r="X42" s="83">
        <v>165</v>
      </c>
      <c r="Y42" s="10"/>
      <c r="Z42" s="20"/>
      <c r="AA42" s="20"/>
    </row>
    <row r="43" spans="2:29" ht="15.75" thickBot="1" x14ac:dyDescent="0.3">
      <c r="B43" s="146"/>
      <c r="C43" s="129" t="s">
        <v>43</v>
      </c>
      <c r="D43" s="125">
        <f t="shared" ref="D43:L43" si="49">D41/D40</f>
        <v>0.94397631519016167</v>
      </c>
      <c r="E43" s="74">
        <f t="shared" si="49"/>
        <v>0.93975373790677219</v>
      </c>
      <c r="F43" s="74">
        <f t="shared" si="49"/>
        <v>0.94063926940639264</v>
      </c>
      <c r="G43" s="74">
        <f t="shared" si="49"/>
        <v>0.91924204827430633</v>
      </c>
      <c r="H43" s="74">
        <f t="shared" si="49"/>
        <v>0.92438604049978457</v>
      </c>
      <c r="I43" s="75">
        <f t="shared" si="49"/>
        <v>0.91959254442999572</v>
      </c>
      <c r="J43" s="75">
        <f t="shared" si="49"/>
        <v>0.93292815281093988</v>
      </c>
      <c r="K43" s="75">
        <f t="shared" si="49"/>
        <v>0.93618392780403958</v>
      </c>
      <c r="L43" s="75">
        <f t="shared" si="49"/>
        <v>0.91904243743199132</v>
      </c>
      <c r="M43" s="75">
        <f t="shared" ref="M43:N43" si="50">M41/M40</f>
        <v>0.91514618597493957</v>
      </c>
      <c r="N43" s="75">
        <f t="shared" si="50"/>
        <v>0.91811023622047239</v>
      </c>
      <c r="O43" s="75">
        <f t="shared" ref="O43:P43" si="51">O41/O40</f>
        <v>0.92769665567593029</v>
      </c>
      <c r="P43" s="76">
        <f t="shared" si="51"/>
        <v>0.9394145677331518</v>
      </c>
      <c r="Q43" s="264">
        <f>Q41/Q40</f>
        <v>0.95099772669866123</v>
      </c>
      <c r="R43" s="297">
        <f t="shared" ref="R43" si="52">R41/R40</f>
        <v>0.94604942568743478</v>
      </c>
      <c r="S43" s="349">
        <f t="shared" ref="S43:T43" si="53">S41/S40</f>
        <v>0.94511331444759206</v>
      </c>
      <c r="T43" s="365">
        <f t="shared" si="53"/>
        <v>0.94719896973599482</v>
      </c>
      <c r="U43" s="84">
        <f t="shared" ref="U43:V43" si="54">U41/U40</f>
        <v>0.94711226476314081</v>
      </c>
      <c r="V43" s="84">
        <f t="shared" si="54"/>
        <v>0.94718196457326898</v>
      </c>
      <c r="W43" s="84">
        <f t="shared" ref="W43:X43" si="55">W41/W40</f>
        <v>0.94709677419354843</v>
      </c>
      <c r="X43" s="84">
        <f t="shared" si="55"/>
        <v>0.94725063938618925</v>
      </c>
      <c r="Y43" s="10"/>
      <c r="Z43" s="48"/>
      <c r="AA43" s="48"/>
    </row>
    <row r="44" spans="2:29" ht="15" thickBot="1" x14ac:dyDescent="0.25">
      <c r="B44" s="40"/>
      <c r="C44" s="40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6"/>
      <c r="Q44" s="251"/>
      <c r="R44" s="302"/>
      <c r="S44" s="302"/>
      <c r="T44" s="373"/>
      <c r="U44" s="8"/>
      <c r="V44" s="8"/>
      <c r="W44" s="8"/>
      <c r="X44" s="8"/>
      <c r="Y44" s="10"/>
      <c r="Z44" s="20"/>
      <c r="AA44" s="20"/>
    </row>
    <row r="45" spans="2:29" ht="15" x14ac:dyDescent="0.25">
      <c r="B45" s="147" t="s">
        <v>20</v>
      </c>
      <c r="C45" s="66" t="s">
        <v>18</v>
      </c>
      <c r="D45" s="130">
        <v>5889</v>
      </c>
      <c r="E45" s="61">
        <v>5946</v>
      </c>
      <c r="F45" s="61">
        <v>6065</v>
      </c>
      <c r="G45" s="61">
        <v>6095</v>
      </c>
      <c r="H45" s="61">
        <v>6126</v>
      </c>
      <c r="I45" s="61">
        <v>6255</v>
      </c>
      <c r="J45" s="87">
        <v>6256</v>
      </c>
      <c r="K45" s="87">
        <v>5967</v>
      </c>
      <c r="L45" s="87">
        <v>5882</v>
      </c>
      <c r="M45" s="87">
        <v>5926</v>
      </c>
      <c r="N45" s="87">
        <v>5834</v>
      </c>
      <c r="O45" s="87">
        <v>5898</v>
      </c>
      <c r="P45" s="62">
        <v>6055</v>
      </c>
      <c r="Q45" s="61">
        <v>6098</v>
      </c>
      <c r="R45" s="299">
        <f>5855</f>
        <v>5855</v>
      </c>
      <c r="S45" s="351">
        <v>5884</v>
      </c>
      <c r="T45" s="367">
        <v>5919</v>
      </c>
      <c r="U45" s="63">
        <v>6302</v>
      </c>
      <c r="V45" s="63">
        <v>6310</v>
      </c>
      <c r="W45" s="63">
        <v>6602</v>
      </c>
      <c r="X45" s="63">
        <v>7532</v>
      </c>
      <c r="Y45" s="27">
        <f>SUM(O45:T45)/SUM(K33:P33)</f>
        <v>2.9151489126867634E-2</v>
      </c>
      <c r="Z45" s="20" t="s">
        <v>49</v>
      </c>
      <c r="AA45" s="20"/>
      <c r="AC45" s="49"/>
    </row>
    <row r="46" spans="2:29" ht="15" x14ac:dyDescent="0.25">
      <c r="B46" s="145"/>
      <c r="C46" s="233" t="s">
        <v>22</v>
      </c>
      <c r="D46" s="234">
        <v>711</v>
      </c>
      <c r="E46" s="235">
        <v>769</v>
      </c>
      <c r="F46" s="235">
        <v>747</v>
      </c>
      <c r="G46" s="235">
        <v>726</v>
      </c>
      <c r="H46" s="235">
        <v>706</v>
      </c>
      <c r="I46" s="235">
        <v>712</v>
      </c>
      <c r="J46" s="238">
        <v>724</v>
      </c>
      <c r="K46" s="238">
        <v>719</v>
      </c>
      <c r="L46" s="238">
        <v>772</v>
      </c>
      <c r="M46" s="238">
        <v>749</v>
      </c>
      <c r="N46" s="238">
        <f>SUM(N47:N48)</f>
        <v>779</v>
      </c>
      <c r="O46" s="238">
        <v>736</v>
      </c>
      <c r="P46" s="236">
        <f>P47+P48</f>
        <v>758</v>
      </c>
      <c r="Q46" s="236">
        <f>Q47+Q48</f>
        <v>878</v>
      </c>
      <c r="R46" s="294">
        <f t="shared" ref="R46:U46" si="56">R47+R48</f>
        <v>895</v>
      </c>
      <c r="S46" s="346">
        <f t="shared" si="56"/>
        <v>1008</v>
      </c>
      <c r="T46" s="374">
        <f t="shared" si="56"/>
        <v>727</v>
      </c>
      <c r="U46" s="237">
        <f t="shared" si="56"/>
        <v>780</v>
      </c>
      <c r="V46" s="237">
        <f t="shared" ref="V46:W46" si="57">V47+V48</f>
        <v>812</v>
      </c>
      <c r="W46" s="237">
        <f t="shared" si="57"/>
        <v>836</v>
      </c>
      <c r="X46" s="237">
        <f t="shared" ref="X46" si="58">X47+X48</f>
        <v>925</v>
      </c>
      <c r="Y46" s="30">
        <f>SUM(O46:T46)/SUM(O45:T45)</f>
        <v>0.14007673135624071</v>
      </c>
      <c r="Z46" s="20" t="s">
        <v>81</v>
      </c>
      <c r="AA46" s="20"/>
    </row>
    <row r="47" spans="2:29" ht="15" x14ac:dyDescent="0.25">
      <c r="B47" s="145"/>
      <c r="C47" s="67" t="s">
        <v>23</v>
      </c>
      <c r="D47" s="123">
        <v>523</v>
      </c>
      <c r="E47" s="55">
        <v>600</v>
      </c>
      <c r="F47" s="55">
        <v>553</v>
      </c>
      <c r="G47" s="55">
        <v>549</v>
      </c>
      <c r="H47" s="55">
        <v>554</v>
      </c>
      <c r="I47" s="55">
        <v>545</v>
      </c>
      <c r="J47" s="64">
        <v>574</v>
      </c>
      <c r="K47" s="64">
        <v>578</v>
      </c>
      <c r="L47" s="64">
        <v>620</v>
      </c>
      <c r="M47" s="64">
        <v>611</v>
      </c>
      <c r="N47" s="64">
        <v>626</v>
      </c>
      <c r="O47" s="64">
        <v>586</v>
      </c>
      <c r="P47" s="70">
        <v>623</v>
      </c>
      <c r="Q47" s="249">
        <v>794</v>
      </c>
      <c r="R47" s="80">
        <v>805</v>
      </c>
      <c r="S47" s="80">
        <v>906</v>
      </c>
      <c r="T47" s="371">
        <f>470+172</f>
        <v>642</v>
      </c>
      <c r="U47" s="81">
        <v>689</v>
      </c>
      <c r="V47" s="81">
        <v>717</v>
      </c>
      <c r="W47" s="81">
        <v>738</v>
      </c>
      <c r="X47" s="81">
        <v>817</v>
      </c>
      <c r="Y47" s="27">
        <f>SUM(O47:T47)/SUM(O46:T46)</f>
        <v>0.87085165933626552</v>
      </c>
      <c r="Z47" s="20" t="s">
        <v>38</v>
      </c>
      <c r="AA47" s="20"/>
    </row>
    <row r="48" spans="2:29" ht="15" x14ac:dyDescent="0.25">
      <c r="B48" s="145"/>
      <c r="C48" s="128" t="s">
        <v>24</v>
      </c>
      <c r="D48" s="124">
        <v>188</v>
      </c>
      <c r="E48" s="71">
        <v>169</v>
      </c>
      <c r="F48" s="71">
        <v>194</v>
      </c>
      <c r="G48" s="71">
        <v>177</v>
      </c>
      <c r="H48" s="71">
        <v>152</v>
      </c>
      <c r="I48" s="71">
        <v>167</v>
      </c>
      <c r="J48" s="78">
        <v>150</v>
      </c>
      <c r="K48" s="78">
        <v>141</v>
      </c>
      <c r="L48" s="78">
        <v>152</v>
      </c>
      <c r="M48" s="78">
        <v>138</v>
      </c>
      <c r="N48" s="78">
        <v>153</v>
      </c>
      <c r="O48" s="78">
        <f t="shared" ref="O48" si="59">O46-O47</f>
        <v>150</v>
      </c>
      <c r="P48" s="79">
        <v>135</v>
      </c>
      <c r="Q48" s="250">
        <v>84</v>
      </c>
      <c r="R48" s="82">
        <v>90</v>
      </c>
      <c r="S48" s="82">
        <v>102</v>
      </c>
      <c r="T48" s="372">
        <v>85</v>
      </c>
      <c r="U48" s="83">
        <v>91</v>
      </c>
      <c r="V48" s="83">
        <v>95</v>
      </c>
      <c r="W48" s="83">
        <v>98</v>
      </c>
      <c r="X48" s="83">
        <v>108</v>
      </c>
    </row>
    <row r="49" spans="2:36" ht="15.75" thickBot="1" x14ac:dyDescent="0.3">
      <c r="B49" s="146"/>
      <c r="C49" s="129" t="s">
        <v>43</v>
      </c>
      <c r="D49" s="125">
        <f t="shared" ref="D49:L49" si="60">D47/D46</f>
        <v>0.73558368495077353</v>
      </c>
      <c r="E49" s="74">
        <f t="shared" si="60"/>
        <v>0.78023407022106628</v>
      </c>
      <c r="F49" s="74">
        <f t="shared" si="60"/>
        <v>0.74029451137884872</v>
      </c>
      <c r="G49" s="74">
        <f t="shared" si="60"/>
        <v>0.75619834710743805</v>
      </c>
      <c r="H49" s="74">
        <f t="shared" si="60"/>
        <v>0.7847025495750708</v>
      </c>
      <c r="I49" s="75">
        <f t="shared" si="60"/>
        <v>0.7654494382022472</v>
      </c>
      <c r="J49" s="75">
        <f t="shared" si="60"/>
        <v>0.79281767955801108</v>
      </c>
      <c r="K49" s="75">
        <f t="shared" si="60"/>
        <v>0.80389429763560505</v>
      </c>
      <c r="L49" s="75">
        <f t="shared" si="60"/>
        <v>0.80310880829015541</v>
      </c>
      <c r="M49" s="75">
        <f t="shared" ref="M49:N49" si="61">M47/M46</f>
        <v>0.81575433911882511</v>
      </c>
      <c r="N49" s="75">
        <f t="shared" si="61"/>
        <v>0.80359435173299099</v>
      </c>
      <c r="O49" s="75">
        <f t="shared" ref="O49:P49" si="62">O47/O46</f>
        <v>0.79619565217391308</v>
      </c>
      <c r="P49" s="76">
        <f t="shared" si="62"/>
        <v>0.82189973614775724</v>
      </c>
      <c r="Q49" s="264">
        <f t="shared" ref="Q49" si="63">Q47/Q46</f>
        <v>0.90432801822323461</v>
      </c>
      <c r="R49" s="297">
        <f>R47/R46</f>
        <v>0.8994413407821229</v>
      </c>
      <c r="S49" s="349">
        <f t="shared" ref="S49:T49" si="64">S47/S46</f>
        <v>0.89880952380952384</v>
      </c>
      <c r="T49" s="365">
        <f t="shared" si="64"/>
        <v>0.88308115543328747</v>
      </c>
      <c r="U49" s="84">
        <f t="shared" ref="U49:V49" si="65">U47/U46</f>
        <v>0.8833333333333333</v>
      </c>
      <c r="V49" s="84">
        <f t="shared" si="65"/>
        <v>0.88300492610837433</v>
      </c>
      <c r="W49" s="84">
        <f t="shared" ref="W49:X49" si="66">W47/W46</f>
        <v>0.88277511961722488</v>
      </c>
      <c r="X49" s="84">
        <f t="shared" si="66"/>
        <v>0.88324324324324321</v>
      </c>
      <c r="Z49" s="7"/>
      <c r="AA49" s="7"/>
    </row>
    <row r="50" spans="2:36" x14ac:dyDescent="0.2">
      <c r="R50" s="303"/>
      <c r="T50" s="375"/>
    </row>
    <row r="51" spans="2:36" ht="15" x14ac:dyDescent="0.25">
      <c r="B51" s="239" t="s">
        <v>54</v>
      </c>
      <c r="C51" s="240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2">
        <f>+O40+O7</f>
        <v>40435</v>
      </c>
      <c r="P51" s="242">
        <f t="shared" ref="P51:T51" si="67">+P40+P7</f>
        <v>41002</v>
      </c>
      <c r="Q51" s="252">
        <f>+Q40+Q7</f>
        <v>41999</v>
      </c>
      <c r="R51" s="304">
        <f t="shared" si="67"/>
        <v>41218</v>
      </c>
      <c r="S51" s="242">
        <f t="shared" si="67"/>
        <v>41895</v>
      </c>
      <c r="T51" s="304">
        <f t="shared" si="67"/>
        <v>42898</v>
      </c>
      <c r="U51" s="242">
        <f t="shared" ref="U51:V51" si="68">+U40+U7</f>
        <v>43448</v>
      </c>
      <c r="V51" s="242">
        <f t="shared" si="68"/>
        <v>44126</v>
      </c>
      <c r="W51" s="242">
        <f t="shared" ref="W51:X51" si="69">+W40+W7</f>
        <v>44858</v>
      </c>
      <c r="X51" s="242">
        <f t="shared" si="69"/>
        <v>45588</v>
      </c>
    </row>
    <row r="52" spans="2:36" x14ac:dyDescent="0.2">
      <c r="R52" s="303"/>
      <c r="T52" s="375"/>
    </row>
    <row r="53" spans="2:36" x14ac:dyDescent="0.2">
      <c r="B53" s="243" t="s">
        <v>55</v>
      </c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4">
        <f>+O51+O46+O28+O21+O14</f>
        <v>61743</v>
      </c>
      <c r="P53" s="244">
        <f t="shared" ref="P53:T53" si="70">+P51+P46+P28+P21+P14</f>
        <v>62027</v>
      </c>
      <c r="Q53" s="244">
        <f>+Q51+Q46+Q28+Q21+Q14</f>
        <v>63005</v>
      </c>
      <c r="R53" s="305">
        <f t="shared" si="70"/>
        <v>62070</v>
      </c>
      <c r="S53" s="244">
        <f t="shared" si="70"/>
        <v>62882</v>
      </c>
      <c r="T53" s="305">
        <f t="shared" si="70"/>
        <v>63868</v>
      </c>
      <c r="U53" s="244">
        <f t="shared" ref="U53:V53" si="71">+U51+U46+U28+U21+U14</f>
        <v>64798.791850652946</v>
      </c>
      <c r="V53" s="244">
        <f t="shared" si="71"/>
        <v>66383.27283515138</v>
      </c>
      <c r="W53" s="244">
        <f t="shared" ref="W53:X53" si="72">+W51+W46+W28+W21+W14</f>
        <v>68110.818788118835</v>
      </c>
      <c r="X53" s="244">
        <f t="shared" si="72"/>
        <v>70512.500276485807</v>
      </c>
      <c r="Y53" s="24"/>
      <c r="Z53" s="24"/>
      <c r="AA53" s="24"/>
      <c r="AB53" s="24"/>
    </row>
    <row r="54" spans="2:36" x14ac:dyDescent="0.2">
      <c r="O54" s="24"/>
      <c r="P54" s="50"/>
    </row>
    <row r="55" spans="2:36" ht="20.25" x14ac:dyDescent="0.3">
      <c r="B55" s="1" t="s">
        <v>0</v>
      </c>
      <c r="C55" s="1" t="s">
        <v>1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4"/>
      <c r="Q55" s="36" t="s">
        <v>58</v>
      </c>
      <c r="S55" s="314">
        <f t="shared" ref="S55" si="73">S6+S12+S13+S19+S20+S26+S39+S45</f>
        <v>732578</v>
      </c>
      <c r="T55" s="314">
        <f t="shared" ref="T55:U55" si="74">T6+T12+T13+T19+T20+T26+T39+T45</f>
        <v>741062</v>
      </c>
      <c r="U55" s="314">
        <f t="shared" si="74"/>
        <v>738816.64523300773</v>
      </c>
      <c r="V55" s="314">
        <f>V6+V12+V13+V19+V20+V26+V39+V45</f>
        <v>747291.71230545547</v>
      </c>
      <c r="W55" s="314">
        <f>W6+W12+W13+W19+W20+W26+W39+W45</f>
        <v>759663.15336032142</v>
      </c>
      <c r="X55" s="314">
        <f>X6+X12+X13+X19+X20+X26+X39+X45</f>
        <v>783268.85844151967</v>
      </c>
    </row>
    <row r="56" spans="2:36" ht="15" x14ac:dyDescent="0.25">
      <c r="B56" s="3" t="s">
        <v>2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Q56" s="36" t="s">
        <v>57</v>
      </c>
      <c r="S56" s="314">
        <f>S8+S9+S15+S16+S22+S23+S29+S30+S41+S42+S47+S48</f>
        <v>62882</v>
      </c>
      <c r="T56" s="314">
        <f>T8+T9+T15+T16+T22+T23+T29+T30+T41+T42+T47+T48</f>
        <v>63868</v>
      </c>
      <c r="U56" s="314">
        <f t="shared" ref="U56:V56" si="75">U8+U9+U15+U16+U22+U23+U29+U30+U41+U42+U47+U48</f>
        <v>64798.791850652953</v>
      </c>
      <c r="V56" s="314">
        <f t="shared" si="75"/>
        <v>66383.27283515138</v>
      </c>
      <c r="W56" s="314">
        <f t="shared" ref="W56:X56" si="76">W8+W9+W15+W16+W22+W23+W29+W30+W41+W42+W47+W48</f>
        <v>68110.818788118835</v>
      </c>
      <c r="X56" s="314">
        <f t="shared" si="76"/>
        <v>70512.500276485822</v>
      </c>
    </row>
    <row r="57" spans="2:36" ht="15" x14ac:dyDescent="0.25">
      <c r="B57" s="3" t="s">
        <v>3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53"/>
      <c r="S57" s="24"/>
      <c r="T57" s="24"/>
      <c r="U57" s="24"/>
      <c r="V57" s="24"/>
      <c r="W57" s="24"/>
      <c r="X57" s="24"/>
    </row>
    <row r="58" spans="2:36" ht="15" x14ac:dyDescent="0.25">
      <c r="B58" s="3" t="s">
        <v>4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T58" s="24"/>
    </row>
    <row r="59" spans="2:36" ht="15" x14ac:dyDescent="0.25">
      <c r="B59" s="3" t="s">
        <v>5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53"/>
      <c r="T59" s="24"/>
    </row>
    <row r="60" spans="2:36" ht="15" x14ac:dyDescent="0.25">
      <c r="B60" s="3" t="s">
        <v>6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53"/>
    </row>
    <row r="61" spans="2:36" ht="15" x14ac:dyDescent="0.25">
      <c r="B61" s="3" t="s">
        <v>7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53"/>
    </row>
    <row r="62" spans="2:36" ht="15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53"/>
      <c r="AB62" s="52"/>
      <c r="AC62" s="52"/>
      <c r="AD62" s="52"/>
      <c r="AE62" s="52"/>
    </row>
    <row r="63" spans="2:36" x14ac:dyDescent="0.2">
      <c r="AB63" s="52"/>
      <c r="AC63" s="52"/>
      <c r="AD63" s="52"/>
      <c r="AE63" s="52"/>
    </row>
    <row r="64" spans="2:36" ht="15.75" thickBot="1" x14ac:dyDescent="0.3">
      <c r="B64" s="11" t="s">
        <v>31</v>
      </c>
      <c r="E64" s="54"/>
      <c r="H64" s="9"/>
      <c r="N64" s="88"/>
      <c r="X64" s="51" t="s">
        <v>83</v>
      </c>
      <c r="AA64" s="275" t="s">
        <v>71</v>
      </c>
      <c r="AB64" s="317"/>
      <c r="AC64" s="52"/>
      <c r="AD64" s="52"/>
      <c r="AE64" s="52"/>
      <c r="AF64" s="52"/>
      <c r="AG64" s="52"/>
      <c r="AJ64" s="317"/>
    </row>
    <row r="65" spans="2:42" ht="15.75" thickBot="1" x14ac:dyDescent="0.3">
      <c r="B65" s="100"/>
      <c r="C65" s="136"/>
      <c r="D65" s="137"/>
      <c r="E65" s="114">
        <v>2008</v>
      </c>
      <c r="F65" s="101">
        <v>2009</v>
      </c>
      <c r="G65" s="101">
        <v>2010</v>
      </c>
      <c r="H65" s="101">
        <v>2011</v>
      </c>
      <c r="I65" s="101">
        <v>2012</v>
      </c>
      <c r="J65" s="102">
        <v>2013</v>
      </c>
      <c r="K65" s="102">
        <v>2014</v>
      </c>
      <c r="L65" s="102">
        <v>2015</v>
      </c>
      <c r="M65" s="102">
        <v>2016</v>
      </c>
      <c r="N65" s="102">
        <v>2017</v>
      </c>
      <c r="O65" s="102">
        <v>2018</v>
      </c>
      <c r="P65" s="102">
        <v>2019</v>
      </c>
      <c r="Q65" s="254">
        <v>2020</v>
      </c>
      <c r="R65" s="254">
        <v>2021</v>
      </c>
      <c r="S65" s="102">
        <v>2022</v>
      </c>
      <c r="T65" s="335">
        <v>2023</v>
      </c>
      <c r="U65" s="103">
        <v>2024</v>
      </c>
      <c r="V65" s="245">
        <v>2025</v>
      </c>
      <c r="W65" s="245">
        <v>2026</v>
      </c>
      <c r="X65" s="245">
        <v>2027</v>
      </c>
      <c r="Y65" s="105">
        <v>2028</v>
      </c>
      <c r="AA65" s="275">
        <v>2020</v>
      </c>
      <c r="AB65" s="275">
        <v>2021</v>
      </c>
      <c r="AC65" s="275">
        <v>2022</v>
      </c>
      <c r="AD65" s="275">
        <v>2023</v>
      </c>
      <c r="AE65" s="275">
        <v>2024</v>
      </c>
      <c r="AF65" s="275">
        <v>2025</v>
      </c>
      <c r="AG65" s="275">
        <v>2026</v>
      </c>
      <c r="AH65" s="275">
        <v>2027</v>
      </c>
      <c r="AJ65" s="274"/>
      <c r="AK65" s="275"/>
      <c r="AL65" s="274"/>
      <c r="AM65" s="275"/>
      <c r="AN65" s="274"/>
      <c r="AO65" s="292"/>
      <c r="AP65" s="292"/>
    </row>
    <row r="66" spans="2:42" ht="15" x14ac:dyDescent="0.25">
      <c r="B66" s="153" t="s">
        <v>29</v>
      </c>
      <c r="C66" s="144" t="s">
        <v>10</v>
      </c>
      <c r="D66" s="143"/>
      <c r="E66" s="139">
        <f>E69+E72</f>
        <v>794614.5</v>
      </c>
      <c r="F66" s="117">
        <f t="shared" ref="F66:K66" si="77">F69+F72</f>
        <v>771265.25</v>
      </c>
      <c r="G66" s="117">
        <f t="shared" si="77"/>
        <v>749105.75</v>
      </c>
      <c r="H66" s="117">
        <f t="shared" si="77"/>
        <v>729194</v>
      </c>
      <c r="I66" s="117">
        <f t="shared" si="77"/>
        <v>708842.75</v>
      </c>
      <c r="J66" s="117">
        <f>J69+J72</f>
        <v>693403.3833333333</v>
      </c>
      <c r="K66" s="118">
        <f t="shared" si="77"/>
        <v>683358.75</v>
      </c>
      <c r="L66" s="118">
        <f t="shared" ref="L66:N66" si="78">L69+L72</f>
        <v>679044</v>
      </c>
      <c r="M66" s="118">
        <f t="shared" si="78"/>
        <v>678639.5</v>
      </c>
      <c r="N66" s="118">
        <f t="shared" si="78"/>
        <v>682568.75</v>
      </c>
      <c r="O66" s="118">
        <f t="shared" ref="O66" si="79">O69+O72</f>
        <v>683221.5</v>
      </c>
      <c r="P66" s="118">
        <f>P69+P72</f>
        <v>685154.75</v>
      </c>
      <c r="Q66" s="255">
        <f t="shared" ref="Q66:T67" si="80">ROUND(Q69+Q72,0)</f>
        <v>691521</v>
      </c>
      <c r="R66" s="266">
        <f>ROUND(R69+R72,0)</f>
        <v>699940</v>
      </c>
      <c r="S66" s="306">
        <f>ROUND(S69+S72,0)</f>
        <v>714806</v>
      </c>
      <c r="T66" s="337">
        <f t="shared" si="80"/>
        <v>724257</v>
      </c>
      <c r="U66" s="337">
        <f t="shared" ref="U66" si="81">ROUND(U69+U72,0)</f>
        <v>732496</v>
      </c>
      <c r="V66" s="283">
        <f>ROUND(V69+V72,0)</f>
        <v>730109</v>
      </c>
      <c r="W66" s="283">
        <f t="shared" ref="W66" si="82">ROUND(W69+W72,0)</f>
        <v>738186</v>
      </c>
      <c r="X66" s="283">
        <f t="shared" ref="X66:Y66" si="83">ROUND(X69+X72,0)</f>
        <v>750095</v>
      </c>
      <c r="Y66" s="119">
        <f t="shared" si="83"/>
        <v>773020</v>
      </c>
      <c r="AA66" s="276" t="b">
        <f>Q66=final!Y57</f>
        <v>1</v>
      </c>
      <c r="AB66" s="276" t="b">
        <f>R66=final!Z57</f>
        <v>1</v>
      </c>
      <c r="AC66" s="276" t="b">
        <f>S66=final!AA57</f>
        <v>1</v>
      </c>
      <c r="AD66" s="276" t="b">
        <f>T66=final!AB57</f>
        <v>1</v>
      </c>
      <c r="AE66" s="276" t="b">
        <f>U66=final!AC57</f>
        <v>1</v>
      </c>
      <c r="AF66" s="276" t="b">
        <f>V66=final!AD13</f>
        <v>1</v>
      </c>
      <c r="AG66" s="276" t="b">
        <f>W66=final!AE13</f>
        <v>1</v>
      </c>
      <c r="AH66" s="276" t="b">
        <f>X66=final!AF13</f>
        <v>1</v>
      </c>
      <c r="AJ66" s="315"/>
      <c r="AK66" s="315"/>
      <c r="AL66" s="315"/>
      <c r="AM66" s="315"/>
      <c r="AN66" s="315"/>
      <c r="AO66" s="315"/>
      <c r="AP66" s="315"/>
    </row>
    <row r="67" spans="2:42" ht="15" x14ac:dyDescent="0.25">
      <c r="B67" s="154"/>
      <c r="C67" s="132" t="s">
        <v>11</v>
      </c>
      <c r="D67" s="131"/>
      <c r="E67" s="108">
        <f>E70+E73</f>
        <v>58103.5</v>
      </c>
      <c r="F67" s="89">
        <f t="shared" ref="F67:K67" si="84">F70+F73</f>
        <v>58171.5</v>
      </c>
      <c r="G67" s="89">
        <f t="shared" si="84"/>
        <v>57876.5</v>
      </c>
      <c r="H67" s="89">
        <f t="shared" si="84"/>
        <v>57248.25</v>
      </c>
      <c r="I67" s="89">
        <f t="shared" si="84"/>
        <v>56532.75</v>
      </c>
      <c r="J67" s="89">
        <f t="shared" si="84"/>
        <v>55220.744410503292</v>
      </c>
      <c r="K67" s="90">
        <f t="shared" si="84"/>
        <v>54428.25</v>
      </c>
      <c r="L67" s="90">
        <f t="shared" ref="L67:N67" si="85">L70+L73</f>
        <v>54325.75</v>
      </c>
      <c r="M67" s="90">
        <f t="shared" si="85"/>
        <v>53813.75</v>
      </c>
      <c r="N67" s="90">
        <f t="shared" si="85"/>
        <v>53831.75</v>
      </c>
      <c r="O67" s="90">
        <f t="shared" ref="O67" si="86">O70+O73</f>
        <v>53872</v>
      </c>
      <c r="P67" s="90">
        <f>P70+P73</f>
        <v>53839.5</v>
      </c>
      <c r="Q67" s="256">
        <f t="shared" si="80"/>
        <v>54309</v>
      </c>
      <c r="R67" s="267">
        <f t="shared" si="80"/>
        <v>55001</v>
      </c>
      <c r="S67" s="307">
        <f>ROUND(S70+S73,0)</f>
        <v>54060</v>
      </c>
      <c r="T67" s="338">
        <f>ROUND(T70+T73,0)</f>
        <v>54717</v>
      </c>
      <c r="U67" s="338">
        <f t="shared" ref="U67" si="87">ROUND(U70+U73,0)</f>
        <v>55331</v>
      </c>
      <c r="V67" s="284">
        <f>ROUND(V70+V73,0)</f>
        <v>56089</v>
      </c>
      <c r="W67" s="284">
        <f t="shared" ref="W67" si="88">ROUND(W70+W73,0)</f>
        <v>57368</v>
      </c>
      <c r="X67" s="284">
        <f t="shared" ref="X67:Y67" si="89">ROUND(X70+X73,0)</f>
        <v>58740</v>
      </c>
      <c r="Y67" s="91">
        <f t="shared" si="89"/>
        <v>60714</v>
      </c>
      <c r="AA67" s="276" t="b">
        <f>Q67=final!Y58</f>
        <v>1</v>
      </c>
      <c r="AB67" s="276" t="b">
        <f>R67=final!Z58</f>
        <v>1</v>
      </c>
      <c r="AC67" s="276" t="b">
        <f>S67=final!AA58</f>
        <v>1</v>
      </c>
      <c r="AD67" s="276" t="b">
        <f>T67=final!AB58</f>
        <v>1</v>
      </c>
      <c r="AE67" s="276" t="b">
        <f>U67=final!AC58</f>
        <v>1</v>
      </c>
      <c r="AF67" s="276" t="b">
        <f>V67=final!AD14</f>
        <v>1</v>
      </c>
      <c r="AG67" s="276" t="b">
        <f>W67=final!AE14</f>
        <v>1</v>
      </c>
      <c r="AH67" s="276" t="b">
        <f>X67=final!AF14</f>
        <v>1</v>
      </c>
      <c r="AJ67" s="315"/>
      <c r="AK67" s="315"/>
      <c r="AL67" s="315"/>
      <c r="AM67" s="315"/>
      <c r="AN67" s="315"/>
      <c r="AO67" s="315"/>
      <c r="AP67" s="315"/>
    </row>
    <row r="68" spans="2:42" ht="15" x14ac:dyDescent="0.25">
      <c r="B68" s="156"/>
      <c r="C68" s="157" t="s">
        <v>46</v>
      </c>
      <c r="D68" s="157"/>
      <c r="E68" s="158">
        <f t="shared" ref="E68:K68" si="90">E66/E67</f>
        <v>13.675845689158141</v>
      </c>
      <c r="F68" s="159">
        <f t="shared" si="90"/>
        <v>13.258472791659146</v>
      </c>
      <c r="G68" s="159">
        <f t="shared" si="90"/>
        <v>12.943176418753726</v>
      </c>
      <c r="H68" s="159">
        <f t="shared" si="90"/>
        <v>12.737402453350102</v>
      </c>
      <c r="I68" s="159">
        <f t="shared" si="90"/>
        <v>12.53862141855827</v>
      </c>
      <c r="J68" s="160">
        <f t="shared" si="90"/>
        <v>12.556936541432139</v>
      </c>
      <c r="K68" s="161">
        <f t="shared" si="90"/>
        <v>12.555221782805804</v>
      </c>
      <c r="L68" s="161">
        <f t="shared" ref="L68:N68" si="91">L66/L67</f>
        <v>12.499486891575359</v>
      </c>
      <c r="M68" s="162">
        <f t="shared" si="91"/>
        <v>12.610894055887204</v>
      </c>
      <c r="N68" s="162">
        <f t="shared" si="91"/>
        <v>12.679668597064</v>
      </c>
      <c r="O68" s="162">
        <f t="shared" ref="O68:P68" si="92">O66/O67</f>
        <v>12.682311776061775</v>
      </c>
      <c r="P68" s="162">
        <f t="shared" si="92"/>
        <v>12.725875054560314</v>
      </c>
      <c r="Q68" s="257">
        <f>Q66/Q67</f>
        <v>12.733082914434071</v>
      </c>
      <c r="R68" s="268">
        <f>R66/R67</f>
        <v>12.725950437264776</v>
      </c>
      <c r="S68" s="308">
        <f t="shared" ref="S68" si="93">S66/S67</f>
        <v>13.222456529781724</v>
      </c>
      <c r="T68" s="339">
        <f>T66/T67</f>
        <v>13.236416470201217</v>
      </c>
      <c r="U68" s="339">
        <f>U66/U67</f>
        <v>13.238437765447941</v>
      </c>
      <c r="V68" s="285">
        <f>V66/V67</f>
        <v>13.016973025013817</v>
      </c>
      <c r="W68" s="285">
        <f t="shared" ref="W68" si="94">W66/W67</f>
        <v>12.867556826105146</v>
      </c>
      <c r="X68" s="285">
        <f t="shared" ref="X68:Y68" si="95">X66/X67</f>
        <v>12.769748042219952</v>
      </c>
      <c r="Y68" s="163">
        <f t="shared" si="95"/>
        <v>12.73215403366604</v>
      </c>
      <c r="AA68" s="276" t="b">
        <f>Q68=final!Y59</f>
        <v>1</v>
      </c>
      <c r="AB68" s="276" t="b">
        <f>R68=final!Z59</f>
        <v>1</v>
      </c>
      <c r="AC68" s="276" t="b">
        <f>S68=final!AA59</f>
        <v>1</v>
      </c>
      <c r="AD68" s="276" t="b">
        <f>T68=final!AB59</f>
        <v>1</v>
      </c>
      <c r="AE68" s="276" t="b">
        <f>U68=final!AC59</f>
        <v>1</v>
      </c>
      <c r="AF68" s="276" t="b">
        <f>V68=final!AD15</f>
        <v>1</v>
      </c>
      <c r="AG68" s="276" t="b">
        <f>W68=final!AE15</f>
        <v>1</v>
      </c>
      <c r="AH68" s="276" t="b">
        <f>X68=final!AF15</f>
        <v>1</v>
      </c>
      <c r="AJ68" s="315"/>
      <c r="AK68" s="315"/>
      <c r="AL68" s="315"/>
      <c r="AM68" s="315"/>
      <c r="AN68" s="315"/>
      <c r="AO68" s="315"/>
      <c r="AP68" s="315"/>
    </row>
    <row r="69" spans="2:42" ht="15" x14ac:dyDescent="0.25">
      <c r="B69" s="154" t="s">
        <v>28</v>
      </c>
      <c r="C69" s="164" t="s">
        <v>10</v>
      </c>
      <c r="D69" s="165"/>
      <c r="E69" s="166">
        <v>34217</v>
      </c>
      <c r="F69" s="167">
        <v>34489</v>
      </c>
      <c r="G69" s="167">
        <v>35013</v>
      </c>
      <c r="H69" s="167">
        <v>34923</v>
      </c>
      <c r="I69" s="167">
        <v>34850</v>
      </c>
      <c r="J69" s="167">
        <v>35153.633333333353</v>
      </c>
      <c r="K69" s="168">
        <f>SUM(J39,J45)</f>
        <v>34587</v>
      </c>
      <c r="L69" s="168">
        <f t="shared" ref="L69:N69" si="96">SUM(K39,K45)</f>
        <v>34107</v>
      </c>
      <c r="M69" s="168">
        <f t="shared" si="96"/>
        <v>33293</v>
      </c>
      <c r="N69" s="168">
        <f t="shared" si="96"/>
        <v>32857</v>
      </c>
      <c r="O69" s="168">
        <f t="shared" ref="O69" si="97">SUM(N39,N45)</f>
        <v>32632</v>
      </c>
      <c r="P69" s="168">
        <f>SUM(O39,O45)</f>
        <v>31936</v>
      </c>
      <c r="Q69" s="258">
        <f t="shared" ref="Q69:T69" si="98">ROUND(SUM(P39,P45),0)</f>
        <v>31274</v>
      </c>
      <c r="R69" s="269">
        <f t="shared" si="98"/>
        <v>31176</v>
      </c>
      <c r="S69" s="309">
        <f>ROUND(SUM(R39,R45),0)</f>
        <v>30916</v>
      </c>
      <c r="T69" s="340">
        <f t="shared" si="98"/>
        <v>31119</v>
      </c>
      <c r="U69" s="340">
        <f>ROUND(SUM(T39,T45),0)</f>
        <v>31170</v>
      </c>
      <c r="V69" s="286">
        <f>ROUND(SUM(U39,U45),0)</f>
        <v>31154</v>
      </c>
      <c r="W69" s="286">
        <f t="shared" ref="W69" si="99">ROUND(SUM(V39,V45),0)</f>
        <v>31181</v>
      </c>
      <c r="X69" s="286">
        <f t="shared" ref="X69" si="100">ROUND(SUM(W39,W45),0)</f>
        <v>31502</v>
      </c>
      <c r="Y69" s="169">
        <f t="shared" ref="Y69" si="101">ROUND(SUM(X39,X45),0)</f>
        <v>32959</v>
      </c>
      <c r="AA69" s="276" t="b">
        <f>Q69=final!Y60</f>
        <v>1</v>
      </c>
      <c r="AB69" s="276" t="b">
        <f>R69=final!Z60</f>
        <v>1</v>
      </c>
      <c r="AC69" s="276" t="b">
        <f>S69=final!AA60</f>
        <v>1</v>
      </c>
      <c r="AD69" s="276" t="b">
        <f>T69=final!AB60</f>
        <v>1</v>
      </c>
      <c r="AE69" s="276" t="b">
        <f>U69=final!AC60</f>
        <v>1</v>
      </c>
      <c r="AF69" s="276" t="b">
        <f>V69=final!AD16</f>
        <v>1</v>
      </c>
      <c r="AG69" s="276" t="b">
        <f>W69=final!AE16</f>
        <v>1</v>
      </c>
      <c r="AH69" s="276" t="b">
        <f>X69=final!AF16</f>
        <v>1</v>
      </c>
      <c r="AI69" s="276"/>
      <c r="AJ69" s="315"/>
      <c r="AK69" s="315"/>
      <c r="AL69" s="315"/>
      <c r="AM69" s="315"/>
      <c r="AN69" s="315"/>
      <c r="AO69" s="315"/>
      <c r="AP69" s="315"/>
    </row>
    <row r="70" spans="2:42" ht="15" x14ac:dyDescent="0.25">
      <c r="B70" s="154"/>
      <c r="C70" s="132" t="s">
        <v>11</v>
      </c>
      <c r="D70" s="131"/>
      <c r="E70" s="108">
        <v>4776.5</v>
      </c>
      <c r="F70" s="89">
        <v>4984.75</v>
      </c>
      <c r="G70" s="89">
        <v>4995.75</v>
      </c>
      <c r="H70" s="89">
        <v>4757.75</v>
      </c>
      <c r="I70" s="89">
        <v>4970.75</v>
      </c>
      <c r="J70" s="89">
        <v>4992.328276572397</v>
      </c>
      <c r="K70" s="90">
        <f>SUM(J41+J47+J42*0.25+J48*0.25)</f>
        <v>4986.75</v>
      </c>
      <c r="L70" s="90">
        <f t="shared" ref="L70:N70" si="102">SUM(K41+K47+K42*0.25+K48*0.25)</f>
        <v>5044.5</v>
      </c>
      <c r="M70" s="90">
        <f t="shared" si="102"/>
        <v>4974</v>
      </c>
      <c r="N70" s="90">
        <f t="shared" si="102"/>
        <v>4905</v>
      </c>
      <c r="O70" s="90">
        <f>SUM(N41+N47+N42*0.25+N48*0.25)</f>
        <v>4836.25</v>
      </c>
      <c r="P70" s="90">
        <f>SUM(O41+O47+O42*0.25+O48*0.25)</f>
        <v>4639.25</v>
      </c>
      <c r="Q70" s="256">
        <f t="shared" ref="Q70:U70" si="103">ROUND(SUM(P41+P47+P42*0.25+P48*0.25),0)</f>
        <v>4864</v>
      </c>
      <c r="R70" s="267">
        <f>ROUND(SUM(Q41+Q47+Q42*0.25+Q48*0.25),0)</f>
        <v>4629</v>
      </c>
      <c r="S70" s="307">
        <f>ROUND(SUM(R41+R47+R42*0.25+R48*0.25),0)</f>
        <v>3584</v>
      </c>
      <c r="T70" s="338">
        <f t="shared" si="103"/>
        <v>3639</v>
      </c>
      <c r="U70" s="338">
        <f t="shared" si="103"/>
        <v>3646</v>
      </c>
      <c r="V70" s="284">
        <f>ROUND(SUM(U41+U47+U42*0.25+U48*0.25),0)</f>
        <v>3672</v>
      </c>
      <c r="W70" s="284">
        <f t="shared" ref="W70" si="104">ROUND(SUM(V41+V47+V42*0.25+V48*0.25),0)</f>
        <v>3723</v>
      </c>
      <c r="X70" s="284">
        <f t="shared" ref="X70" si="105">ROUND(SUM(W41+W47+W42*0.25+W48*0.25),0)</f>
        <v>3740</v>
      </c>
      <c r="Y70" s="91">
        <f t="shared" ref="Y70" si="106">ROUND(SUM(X41+X47+X42*0.25+X48*0.25),0)</f>
        <v>3848</v>
      </c>
      <c r="AA70" s="276" t="b">
        <f>Q70=final!Y61</f>
        <v>1</v>
      </c>
      <c r="AB70" s="276" t="b">
        <f>R70=final!Z61</f>
        <v>1</v>
      </c>
      <c r="AC70" s="276" t="b">
        <f>S70=final!AA61</f>
        <v>1</v>
      </c>
      <c r="AD70" s="276" t="b">
        <f>T70=final!AB61</f>
        <v>1</v>
      </c>
      <c r="AE70" s="276" t="b">
        <f>U70=final!AC61</f>
        <v>1</v>
      </c>
      <c r="AF70" s="276" t="b">
        <f>V70=final!AD17</f>
        <v>1</v>
      </c>
      <c r="AG70" s="276" t="b">
        <f>W70=final!AE17</f>
        <v>1</v>
      </c>
      <c r="AH70" s="276" t="b">
        <f>X70=final!AF17</f>
        <v>1</v>
      </c>
      <c r="AJ70" s="315"/>
      <c r="AK70" s="315"/>
      <c r="AL70" s="315"/>
      <c r="AM70" s="315"/>
      <c r="AN70" s="315"/>
      <c r="AO70" s="315"/>
      <c r="AP70" s="315"/>
    </row>
    <row r="71" spans="2:42" ht="15" x14ac:dyDescent="0.25">
      <c r="B71" s="154"/>
      <c r="C71" s="157" t="s">
        <v>46</v>
      </c>
      <c r="D71" s="157"/>
      <c r="E71" s="158">
        <f t="shared" ref="E71:K71" si="107">E69/E70</f>
        <v>7.1636135245472623</v>
      </c>
      <c r="F71" s="159">
        <f t="shared" si="107"/>
        <v>6.91890265309193</v>
      </c>
      <c r="G71" s="159">
        <f t="shared" si="107"/>
        <v>7.00855727368263</v>
      </c>
      <c r="H71" s="159">
        <f t="shared" si="107"/>
        <v>7.340234354474279</v>
      </c>
      <c r="I71" s="159">
        <f t="shared" si="107"/>
        <v>7.0110144344414831</v>
      </c>
      <c r="J71" s="160">
        <f t="shared" si="107"/>
        <v>7.0415308020306959</v>
      </c>
      <c r="K71" s="161">
        <f t="shared" si="107"/>
        <v>6.9357798165137616</v>
      </c>
      <c r="L71" s="161">
        <f t="shared" ref="L71:N71" si="108">L69/L70</f>
        <v>6.7612250966399046</v>
      </c>
      <c r="M71" s="162">
        <f t="shared" si="108"/>
        <v>6.6934057096903903</v>
      </c>
      <c r="N71" s="162">
        <f t="shared" si="108"/>
        <v>6.6986748216106013</v>
      </c>
      <c r="O71" s="162">
        <f t="shared" ref="O71:P71" si="109">O69/O70</f>
        <v>6.7473765830964076</v>
      </c>
      <c r="P71" s="162">
        <f t="shared" si="109"/>
        <v>6.8838713154065854</v>
      </c>
      <c r="Q71" s="257">
        <f t="shared" ref="Q71:R71" si="110">Q69/Q70</f>
        <v>6.4296875</v>
      </c>
      <c r="R71" s="268">
        <f t="shared" si="110"/>
        <v>6.7349319507453016</v>
      </c>
      <c r="S71" s="308">
        <f t="shared" ref="S71" si="111">S69/S70</f>
        <v>8.6261160714285712</v>
      </c>
      <c r="T71" s="339">
        <f>T69/T70</f>
        <v>8.5515251442704034</v>
      </c>
      <c r="U71" s="339">
        <f>U69/U70</f>
        <v>8.5490948985189252</v>
      </c>
      <c r="V71" s="285">
        <f>V69/V70</f>
        <v>8.4842047930283222</v>
      </c>
      <c r="W71" s="285">
        <f t="shared" ref="W71" si="112">W69/W70</f>
        <v>8.3752350255170569</v>
      </c>
      <c r="X71" s="285">
        <f t="shared" ref="X71:Y71" si="113">X69/X70</f>
        <v>8.4229946524064179</v>
      </c>
      <c r="Y71" s="163">
        <f t="shared" si="113"/>
        <v>8.5652286902286896</v>
      </c>
      <c r="AA71" s="276" t="b">
        <f>Q71=final!Y62</f>
        <v>1</v>
      </c>
      <c r="AB71" s="276" t="b">
        <f>R71=final!Z62</f>
        <v>1</v>
      </c>
      <c r="AC71" s="276" t="b">
        <f>S71=final!AA62</f>
        <v>1</v>
      </c>
      <c r="AD71" s="276" t="b">
        <f>T71=final!AB62</f>
        <v>1</v>
      </c>
      <c r="AE71" s="276" t="b">
        <f>U71=final!AC62</f>
        <v>1</v>
      </c>
      <c r="AF71" s="276" t="b">
        <f>V71=final!AD18</f>
        <v>1</v>
      </c>
      <c r="AG71" s="276" t="b">
        <f>W71=final!AE18</f>
        <v>1</v>
      </c>
      <c r="AH71" s="276" t="b">
        <f>X71=final!AF18</f>
        <v>1</v>
      </c>
      <c r="AJ71" s="315"/>
      <c r="AK71" s="315"/>
      <c r="AL71" s="315"/>
      <c r="AM71" s="315"/>
      <c r="AN71" s="315"/>
      <c r="AO71" s="315"/>
      <c r="AP71" s="315"/>
    </row>
    <row r="72" spans="2:42" ht="15" x14ac:dyDescent="0.25">
      <c r="B72" s="142" t="s">
        <v>27</v>
      </c>
      <c r="C72" s="135" t="s">
        <v>10</v>
      </c>
      <c r="D72" s="134"/>
      <c r="E72" s="110">
        <f>D26+D19+D12+D6+0.25*(D13+D20+D27)</f>
        <v>760397.5</v>
      </c>
      <c r="F72" s="111">
        <f t="shared" ref="F72:I72" si="114">E26+E19+E12+E6+0.25*(E13+E20+E27)</f>
        <v>736776.25</v>
      </c>
      <c r="G72" s="111">
        <f t="shared" si="114"/>
        <v>714092.75</v>
      </c>
      <c r="H72" s="111">
        <f t="shared" si="114"/>
        <v>694271</v>
      </c>
      <c r="I72" s="111">
        <f t="shared" si="114"/>
        <v>673992.75</v>
      </c>
      <c r="J72" s="111">
        <f>I26+I19+I12+I6+0.25*(I13+I20+I27)</f>
        <v>658249.75</v>
      </c>
      <c r="K72" s="112">
        <f>SUM(J6+J12+J19+J26+J13*0.25+J20*0.25+J27*0.25)</f>
        <v>648771.75</v>
      </c>
      <c r="L72" s="112">
        <f t="shared" ref="L72:P72" si="115">SUM(K6+K12+K19+K26+K13*0.25+K20*0.25+K27*0.25)</f>
        <v>644937</v>
      </c>
      <c r="M72" s="112">
        <f t="shared" si="115"/>
        <v>645346.5</v>
      </c>
      <c r="N72" s="112">
        <f t="shared" si="115"/>
        <v>649711.75</v>
      </c>
      <c r="O72" s="112">
        <f t="shared" si="115"/>
        <v>650589.5</v>
      </c>
      <c r="P72" s="112">
        <f t="shared" si="115"/>
        <v>653218.75</v>
      </c>
      <c r="Q72" s="259">
        <f t="shared" ref="Q72:U72" si="116">ROUND(SUM(P6+P12+P19+P26+P13*0.25+P20*0.25+P27*0.25),0)</f>
        <v>660247</v>
      </c>
      <c r="R72" s="270">
        <f t="shared" si="116"/>
        <v>668764</v>
      </c>
      <c r="S72" s="310">
        <f>ROUND(SUM(R6+R12+R19+R26+R13*0.25+R20*0.25+R27*0.25),0)</f>
        <v>683890</v>
      </c>
      <c r="T72" s="341">
        <f>ROUND(SUM(S6+S12+S19+S26+S13*0.25+S20*0.25+S27*0.25),0)</f>
        <v>693138</v>
      </c>
      <c r="U72" s="341">
        <f t="shared" si="116"/>
        <v>701326</v>
      </c>
      <c r="V72" s="287">
        <f>ROUND(SUM(U6+U12+U19+U26+U13*0.25+U20*0.25+U27*0.25),0)</f>
        <v>698955</v>
      </c>
      <c r="W72" s="287">
        <f t="shared" ref="W72" si="117">ROUND(SUM(V6+V12+V19+V26+V13*0.25+V20*0.25+V27*0.25),0)</f>
        <v>707005</v>
      </c>
      <c r="X72" s="287">
        <f t="shared" ref="X72" si="118">ROUND(SUM(W6+W12+W19+W26+W13*0.25+W20*0.25+W27*0.25),0)</f>
        <v>718593</v>
      </c>
      <c r="Y72" s="113">
        <f t="shared" ref="Y72" si="119">ROUND(SUM(X6+X12+X19+X26+X13*0.25+X20*0.25+X27*0.25),0)</f>
        <v>740061</v>
      </c>
      <c r="AA72" s="276" t="b">
        <f>Q72=final!Y63</f>
        <v>1</v>
      </c>
      <c r="AB72" s="276" t="b">
        <f>R72=final!Z63</f>
        <v>1</v>
      </c>
      <c r="AC72" s="276" t="b">
        <f>S72=final!AA63</f>
        <v>1</v>
      </c>
      <c r="AD72" s="276" t="b">
        <f>T72=final!AB63</f>
        <v>1</v>
      </c>
      <c r="AE72" s="276" t="b">
        <f>U72=final!AC63</f>
        <v>1</v>
      </c>
      <c r="AF72" s="276" t="b">
        <f>V72=final!AD19</f>
        <v>1</v>
      </c>
      <c r="AG72" s="276" t="b">
        <f>W72=final!AE19</f>
        <v>1</v>
      </c>
      <c r="AH72" s="276" t="b">
        <f>X72=final!AF19</f>
        <v>1</v>
      </c>
      <c r="AJ72" s="315"/>
      <c r="AK72" s="315"/>
      <c r="AL72" s="315"/>
      <c r="AM72" s="315"/>
      <c r="AN72" s="315"/>
      <c r="AO72" s="315"/>
      <c r="AP72" s="315"/>
    </row>
    <row r="73" spans="2:42" ht="15" x14ac:dyDescent="0.25">
      <c r="B73" s="154"/>
      <c r="C73" s="132" t="s">
        <v>11</v>
      </c>
      <c r="D73" s="131"/>
      <c r="E73" s="108">
        <v>53327</v>
      </c>
      <c r="F73" s="89">
        <v>53186.75</v>
      </c>
      <c r="G73" s="89">
        <v>52880.75</v>
      </c>
      <c r="H73" s="89">
        <v>52490.5</v>
      </c>
      <c r="I73" s="89">
        <v>51562</v>
      </c>
      <c r="J73" s="89">
        <v>50228.416133930892</v>
      </c>
      <c r="K73" s="90">
        <f>SUM(J8+J15+J22+J29+J9*0.25+J16*0.25+J23*0.25+J30*0.25)</f>
        <v>49441.5</v>
      </c>
      <c r="L73" s="90">
        <f t="shared" ref="L73:P73" si="120">SUM(K8+K15+K22+K29+K9*0.25+K16*0.25+K23*0.25+K30*0.25)</f>
        <v>49281.25</v>
      </c>
      <c r="M73" s="90">
        <f t="shared" si="120"/>
        <v>48839.75</v>
      </c>
      <c r="N73" s="90">
        <f t="shared" si="120"/>
        <v>48926.75</v>
      </c>
      <c r="O73" s="90">
        <f t="shared" si="120"/>
        <v>49035.75</v>
      </c>
      <c r="P73" s="90">
        <f t="shared" si="120"/>
        <v>49200.25</v>
      </c>
      <c r="Q73" s="256">
        <f t="shared" ref="Q73:U73" si="121">ROUND(SUM(P8+P15+P22+P29+P9*0.25+P16*0.25+P23*0.25+P30*0.25),0)</f>
        <v>49445</v>
      </c>
      <c r="R73" s="267">
        <f t="shared" si="121"/>
        <v>50372</v>
      </c>
      <c r="S73" s="307">
        <f>ROUND(SUM(R8+R15+R22+R29+R9*0.25+R16*0.25+R23*0.25+R30*0.25),0)</f>
        <v>50476</v>
      </c>
      <c r="T73" s="338">
        <f>ROUND(SUM(S8+S15+S22+S29+S9*0.25+S16*0.25+S23*0.25+S30*0.25),0)</f>
        <v>51078</v>
      </c>
      <c r="U73" s="338">
        <f t="shared" si="121"/>
        <v>51685</v>
      </c>
      <c r="V73" s="284">
        <f>ROUND(SUM(U8+U15+U22+U29+U9*0.25+U16*0.25+U23*0.25+U30*0.25),0)</f>
        <v>52417</v>
      </c>
      <c r="W73" s="284">
        <f t="shared" ref="W73" si="122">ROUND(SUM(V8+V15+V22+V29+V9*0.25+V16*0.25+V23*0.25+V30*0.25),0)</f>
        <v>53645</v>
      </c>
      <c r="X73" s="284">
        <f t="shared" ref="X73" si="123">ROUND(SUM(W8+W15+W22+W29+W9*0.25+W16*0.25+W23*0.25+W30*0.25),0)</f>
        <v>55000</v>
      </c>
      <c r="Y73" s="91">
        <f t="shared" ref="Y73" si="124">ROUND(SUM(X8+X15+X22+X29+X9*0.25+X16*0.25+X23*0.25+X30*0.25),0)</f>
        <v>56866</v>
      </c>
      <c r="AA73" s="276" t="b">
        <f>Q73=final!Y64</f>
        <v>1</v>
      </c>
      <c r="AB73" s="276" t="b">
        <f>R73=final!Z64</f>
        <v>1</v>
      </c>
      <c r="AC73" s="276" t="b">
        <f>S73=final!AA64</f>
        <v>1</v>
      </c>
      <c r="AD73" s="276" t="b">
        <f>T73=final!AB64</f>
        <v>1</v>
      </c>
      <c r="AE73" s="276" t="b">
        <f>U73=final!AC64</f>
        <v>1</v>
      </c>
      <c r="AF73" s="276" t="b">
        <f>V73=final!AD20</f>
        <v>1</v>
      </c>
      <c r="AG73" s="276" t="b">
        <f>W73=final!AE20</f>
        <v>1</v>
      </c>
      <c r="AH73" s="276" t="b">
        <f>X73=final!AF20</f>
        <v>1</v>
      </c>
      <c r="AJ73" s="315"/>
      <c r="AK73" s="315"/>
      <c r="AL73" s="315"/>
      <c r="AM73" s="315"/>
      <c r="AN73" s="315"/>
      <c r="AO73" s="315"/>
      <c r="AP73" s="315"/>
    </row>
    <row r="74" spans="2:42" ht="15.75" thickBot="1" x14ac:dyDescent="0.3">
      <c r="B74" s="170"/>
      <c r="C74" s="133" t="s">
        <v>46</v>
      </c>
      <c r="D74" s="133"/>
      <c r="E74" s="109">
        <f t="shared" ref="E74:K74" si="125">E72/E73</f>
        <v>14.259146398634838</v>
      </c>
      <c r="F74" s="92">
        <f t="shared" si="125"/>
        <v>13.85262776913423</v>
      </c>
      <c r="G74" s="92">
        <f t="shared" si="125"/>
        <v>13.50383173461042</v>
      </c>
      <c r="H74" s="92">
        <f t="shared" si="125"/>
        <v>13.226602909097837</v>
      </c>
      <c r="I74" s="92">
        <f t="shared" si="125"/>
        <v>13.07150129940654</v>
      </c>
      <c r="J74" s="93">
        <f t="shared" si="125"/>
        <v>13.105126553161037</v>
      </c>
      <c r="K74" s="94">
        <f t="shared" si="125"/>
        <v>13.122007827432419</v>
      </c>
      <c r="L74" s="94">
        <f t="shared" ref="L74:N74" si="126">L72/L73</f>
        <v>13.086863665187064</v>
      </c>
      <c r="M74" s="95">
        <f t="shared" si="126"/>
        <v>13.213550437911742</v>
      </c>
      <c r="N74" s="95">
        <f t="shared" si="126"/>
        <v>13.279274629931479</v>
      </c>
      <c r="O74" s="95">
        <f t="shared" ref="O74:P74" si="127">O72/O73</f>
        <v>13.267656760628725</v>
      </c>
      <c r="P74" s="95">
        <f t="shared" si="127"/>
        <v>13.27673639869716</v>
      </c>
      <c r="Q74" s="260">
        <f>Q72/Q73</f>
        <v>13.353160076853069</v>
      </c>
      <c r="R74" s="271">
        <f t="shared" ref="R74" si="128">R72/R73</f>
        <v>13.276502819026444</v>
      </c>
      <c r="S74" s="311">
        <f t="shared" ref="S74" si="129">S72/S73</f>
        <v>13.54881527854822</v>
      </c>
      <c r="T74" s="342">
        <f>T72/T73</f>
        <v>13.570186773170445</v>
      </c>
      <c r="U74" s="342">
        <f>U72/U73</f>
        <v>13.569236722453322</v>
      </c>
      <c r="V74" s="288">
        <f>V72/V73</f>
        <v>13.334509796440086</v>
      </c>
      <c r="W74" s="288">
        <f t="shared" ref="W74" si="130">W72/W73</f>
        <v>13.17932705750769</v>
      </c>
      <c r="X74" s="288">
        <f t="shared" ref="X74:Y74" si="131">X72/X73</f>
        <v>13.065327272727274</v>
      </c>
      <c r="Y74" s="96">
        <f t="shared" si="131"/>
        <v>13.014120915837232</v>
      </c>
      <c r="AA74" s="276" t="b">
        <f>Q74=final!Y65</f>
        <v>1</v>
      </c>
      <c r="AB74" s="276" t="b">
        <f>R74=final!Z65</f>
        <v>1</v>
      </c>
      <c r="AC74" s="276" t="b">
        <f>S74=final!AA65</f>
        <v>1</v>
      </c>
      <c r="AD74" s="276" t="b">
        <f>T74=final!AB65</f>
        <v>1</v>
      </c>
      <c r="AE74" s="276" t="b">
        <f>U74=final!AC65</f>
        <v>1</v>
      </c>
      <c r="AF74" s="276" t="b">
        <f>V74=final!AD21</f>
        <v>1</v>
      </c>
      <c r="AG74" s="276" t="b">
        <f>W74=final!AE21</f>
        <v>1</v>
      </c>
      <c r="AH74" s="276" t="b">
        <f>X74=final!AF21</f>
        <v>1</v>
      </c>
      <c r="AJ74" s="315"/>
      <c r="AK74" s="315"/>
      <c r="AL74" s="315"/>
      <c r="AM74" s="315"/>
      <c r="AN74" s="315"/>
      <c r="AO74" s="315"/>
      <c r="AP74" s="315"/>
    </row>
    <row r="75" spans="2:42" ht="15" x14ac:dyDescent="0.25">
      <c r="B75" s="8"/>
      <c r="C75" s="8"/>
      <c r="D75" s="8"/>
      <c r="E75" s="12"/>
      <c r="F75" s="12"/>
      <c r="G75" s="12"/>
      <c r="H75" s="12"/>
      <c r="I75" s="12"/>
      <c r="J75" s="14"/>
      <c r="K75" s="14"/>
      <c r="L75" s="14"/>
      <c r="M75" s="14"/>
      <c r="R75" s="2"/>
      <c r="S75" s="2"/>
      <c r="T75" s="2"/>
      <c r="U75" s="2"/>
      <c r="V75" s="2"/>
      <c r="W75" s="2"/>
      <c r="X75" s="2"/>
      <c r="AB75" s="52"/>
      <c r="AC75" s="52"/>
      <c r="AD75" s="52"/>
      <c r="AE75" s="52"/>
    </row>
    <row r="76" spans="2:42" x14ac:dyDescent="0.2">
      <c r="R76" s="247"/>
      <c r="S76" s="247"/>
      <c r="AB76" s="52"/>
      <c r="AC76" s="52"/>
      <c r="AD76" s="52"/>
      <c r="AE76" s="52"/>
    </row>
    <row r="77" spans="2:42" x14ac:dyDescent="0.2">
      <c r="S77" s="247"/>
      <c r="AB77" s="52"/>
      <c r="AC77" s="52"/>
      <c r="AD77" s="52"/>
      <c r="AE77" s="52"/>
    </row>
    <row r="78" spans="2:42" x14ac:dyDescent="0.2">
      <c r="AB78" s="52"/>
      <c r="AC78" s="52"/>
      <c r="AD78" s="52"/>
      <c r="AE78" s="52"/>
    </row>
    <row r="79" spans="2:42" x14ac:dyDescent="0.2">
      <c r="AB79" s="52"/>
      <c r="AC79" s="52"/>
      <c r="AD79" s="52"/>
      <c r="AE79" s="52"/>
    </row>
    <row r="80" spans="2:42" ht="20.25" x14ac:dyDescent="0.3">
      <c r="B80" s="1" t="s">
        <v>15</v>
      </c>
      <c r="C80" s="1" t="s">
        <v>1</v>
      </c>
      <c r="Z80" s="2"/>
      <c r="AA80" s="2"/>
      <c r="AB80" s="52"/>
      <c r="AC80" s="52"/>
      <c r="AD80" s="52"/>
      <c r="AE80" s="52"/>
    </row>
    <row r="81" spans="2:42" ht="15" x14ac:dyDescent="0.25">
      <c r="B81" s="2"/>
      <c r="C81" s="2" t="s">
        <v>16</v>
      </c>
      <c r="Z81" s="2"/>
      <c r="AA81" s="2"/>
      <c r="AB81" s="52"/>
      <c r="AC81" s="52"/>
      <c r="AD81" s="52"/>
      <c r="AE81" s="52"/>
    </row>
    <row r="82" spans="2:42" ht="6" customHeight="1" x14ac:dyDescent="0.25">
      <c r="Z82" s="2"/>
      <c r="AA82" s="2"/>
      <c r="AB82" s="52"/>
      <c r="AC82" s="52"/>
      <c r="AD82" s="52"/>
      <c r="AE82" s="52"/>
    </row>
    <row r="83" spans="2:42" ht="15" x14ac:dyDescent="0.25">
      <c r="B83" t="s">
        <v>30</v>
      </c>
      <c r="E83" s="23"/>
      <c r="H83" s="9"/>
      <c r="N83" s="28"/>
      <c r="W83" s="33" t="s">
        <v>83</v>
      </c>
      <c r="X83" s="51"/>
      <c r="Z83" s="2"/>
      <c r="AA83" s="278" t="s">
        <v>71</v>
      </c>
      <c r="AB83" s="53"/>
      <c r="AC83" s="52"/>
      <c r="AD83" s="52"/>
      <c r="AE83" s="52"/>
    </row>
    <row r="84" spans="2:42" ht="15.75" thickBot="1" x14ac:dyDescent="0.3">
      <c r="B84" s="141"/>
      <c r="C84" s="142"/>
      <c r="D84" s="142"/>
      <c r="E84" s="138">
        <v>2008</v>
      </c>
      <c r="F84" s="18">
        <v>2009</v>
      </c>
      <c r="G84" s="18">
        <v>2010</v>
      </c>
      <c r="H84" s="18">
        <v>2011</v>
      </c>
      <c r="I84" s="18">
        <v>2012</v>
      </c>
      <c r="J84" s="19">
        <v>2013</v>
      </c>
      <c r="K84" s="19">
        <v>2014</v>
      </c>
      <c r="L84" s="19">
        <v>2015</v>
      </c>
      <c r="M84" s="19">
        <v>2016</v>
      </c>
      <c r="N84" s="19">
        <v>2017</v>
      </c>
      <c r="O84" s="19">
        <v>2018</v>
      </c>
      <c r="P84" s="19">
        <v>2019</v>
      </c>
      <c r="Q84" s="261">
        <v>2020</v>
      </c>
      <c r="R84" s="261">
        <v>2021</v>
      </c>
      <c r="S84" s="19">
        <v>2022</v>
      </c>
      <c r="T84" s="336">
        <v>2023</v>
      </c>
      <c r="U84" s="19">
        <v>2024</v>
      </c>
      <c r="V84" s="291">
        <v>2025</v>
      </c>
      <c r="W84" s="291">
        <v>2026</v>
      </c>
      <c r="X84" s="291">
        <v>2027</v>
      </c>
      <c r="Y84" s="115">
        <v>2028</v>
      </c>
      <c r="Z84" s="2"/>
      <c r="AA84" s="275">
        <v>2020</v>
      </c>
      <c r="AB84" s="275">
        <v>2021</v>
      </c>
      <c r="AC84" s="275">
        <v>2022</v>
      </c>
      <c r="AD84" s="275">
        <v>2023</v>
      </c>
      <c r="AE84" s="275">
        <v>2024</v>
      </c>
      <c r="AF84" s="275">
        <v>2025</v>
      </c>
      <c r="AG84" s="275">
        <v>2026</v>
      </c>
      <c r="AH84" s="275">
        <v>2027</v>
      </c>
      <c r="AJ84" s="274"/>
      <c r="AK84" s="275"/>
      <c r="AL84" s="274"/>
      <c r="AM84" s="275"/>
      <c r="AN84" s="274"/>
      <c r="AO84" s="292"/>
      <c r="AP84" s="292"/>
    </row>
    <row r="85" spans="2:42" ht="15" x14ac:dyDescent="0.25">
      <c r="B85" s="155" t="s">
        <v>29</v>
      </c>
      <c r="C85" s="144" t="s">
        <v>10</v>
      </c>
      <c r="D85" s="143"/>
      <c r="E85" s="139">
        <f>E88+E91</f>
        <v>802959</v>
      </c>
      <c r="F85" s="117">
        <f t="shared" ref="F85:K85" si="132">F88+F91</f>
        <v>779804</v>
      </c>
      <c r="G85" s="117">
        <f t="shared" si="132"/>
        <v>758045</v>
      </c>
      <c r="H85" s="117">
        <f t="shared" si="132"/>
        <v>737864</v>
      </c>
      <c r="I85" s="117">
        <f t="shared" si="132"/>
        <v>716543</v>
      </c>
      <c r="J85" s="117">
        <f t="shared" si="132"/>
        <v>700551</v>
      </c>
      <c r="K85" s="118">
        <f t="shared" si="132"/>
        <v>690543</v>
      </c>
      <c r="L85" s="118">
        <f t="shared" ref="L85:M85" si="133">L88+L91</f>
        <v>686319</v>
      </c>
      <c r="M85" s="118">
        <f t="shared" si="133"/>
        <v>686036</v>
      </c>
      <c r="N85" s="118">
        <f t="shared" ref="N85:P86" si="134">N88+N91</f>
        <v>690248</v>
      </c>
      <c r="O85" s="118">
        <f t="shared" si="134"/>
        <v>690861</v>
      </c>
      <c r="P85" s="118">
        <f t="shared" si="134"/>
        <v>692981</v>
      </c>
      <c r="Q85" s="255">
        <f t="shared" ref="Q85:T86" si="135">ROUND(Q88+Q91,0)</f>
        <v>699641</v>
      </c>
      <c r="R85" s="266">
        <f t="shared" si="135"/>
        <v>708282</v>
      </c>
      <c r="S85" s="306">
        <f t="shared" si="135"/>
        <v>722958</v>
      </c>
      <c r="T85" s="337">
        <f>ROUND(T88+T91,0)</f>
        <v>732578</v>
      </c>
      <c r="U85" s="376">
        <f t="shared" ref="U85" si="136">ROUND(U88+U91,0)</f>
        <v>741062</v>
      </c>
      <c r="V85" s="283">
        <f>ROUND(V88+V91,0)</f>
        <v>738817</v>
      </c>
      <c r="W85" s="283">
        <f t="shared" ref="W85" si="137">ROUND(W88+W91,0)</f>
        <v>747292</v>
      </c>
      <c r="X85" s="283">
        <f t="shared" ref="X85:Y85" si="138">ROUND(X88+X91,0)</f>
        <v>759663</v>
      </c>
      <c r="Y85" s="119">
        <f t="shared" si="138"/>
        <v>783269</v>
      </c>
      <c r="AA85" s="277" t="b">
        <f>Q85=final!Y75</f>
        <v>1</v>
      </c>
      <c r="AB85" s="277" t="b">
        <f>R85=final!Z75</f>
        <v>1</v>
      </c>
      <c r="AC85" s="277" t="b">
        <f>S85=final!AA75</f>
        <v>1</v>
      </c>
      <c r="AD85" s="277" t="b">
        <f>T85=final!AB75</f>
        <v>1</v>
      </c>
      <c r="AE85" s="277" t="b">
        <f>U85=final!AC75</f>
        <v>1</v>
      </c>
      <c r="AF85" s="277" t="b">
        <f>V85=final!AD31</f>
        <v>1</v>
      </c>
      <c r="AG85" s="277" t="b">
        <f>W85=final!AE31</f>
        <v>1</v>
      </c>
      <c r="AH85" s="277" t="b">
        <f>X85=final!AF31</f>
        <v>1</v>
      </c>
      <c r="AJ85" s="316"/>
      <c r="AK85" s="316"/>
      <c r="AL85" s="316"/>
      <c r="AM85" s="316"/>
      <c r="AN85" s="316"/>
      <c r="AO85" s="316"/>
      <c r="AP85" s="316"/>
    </row>
    <row r="86" spans="2:42" ht="15" x14ac:dyDescent="0.25">
      <c r="B86" s="154"/>
      <c r="C86" s="132" t="s">
        <v>11</v>
      </c>
      <c r="D86" s="131"/>
      <c r="E86" s="108">
        <f>E89+E92</f>
        <v>58103.5</v>
      </c>
      <c r="F86" s="89">
        <f t="shared" ref="F86:K86" si="139">F89+F92</f>
        <v>58171.5</v>
      </c>
      <c r="G86" s="89">
        <f t="shared" si="139"/>
        <v>57876.5</v>
      </c>
      <c r="H86" s="89">
        <f t="shared" si="139"/>
        <v>57248.25</v>
      </c>
      <c r="I86" s="89">
        <f t="shared" si="139"/>
        <v>56532.75</v>
      </c>
      <c r="J86" s="89">
        <f t="shared" si="139"/>
        <v>55275.25</v>
      </c>
      <c r="K86" s="90">
        <f t="shared" si="139"/>
        <v>54428.25</v>
      </c>
      <c r="L86" s="90">
        <f t="shared" ref="L86:M86" si="140">L89+L92</f>
        <v>54325.75</v>
      </c>
      <c r="M86" s="90">
        <f t="shared" si="140"/>
        <v>53813.75</v>
      </c>
      <c r="N86" s="90">
        <f t="shared" si="134"/>
        <v>53831.75</v>
      </c>
      <c r="O86" s="90">
        <f t="shared" si="134"/>
        <v>53872</v>
      </c>
      <c r="P86" s="90">
        <f t="shared" si="134"/>
        <v>53839.5</v>
      </c>
      <c r="Q86" s="256">
        <f t="shared" si="135"/>
        <v>54309</v>
      </c>
      <c r="R86" s="267">
        <f t="shared" si="135"/>
        <v>55001</v>
      </c>
      <c r="S86" s="307">
        <f t="shared" si="135"/>
        <v>54060</v>
      </c>
      <c r="T86" s="338">
        <f t="shared" si="135"/>
        <v>54717</v>
      </c>
      <c r="U86" s="377">
        <f>ROUND(U89+U92,0)</f>
        <v>55331</v>
      </c>
      <c r="V86" s="284">
        <f>ROUND(V89+V92,0)</f>
        <v>56089</v>
      </c>
      <c r="W86" s="284">
        <f t="shared" ref="W86" si="141">ROUND(W89+W92,0)</f>
        <v>57368</v>
      </c>
      <c r="X86" s="284">
        <f t="shared" ref="X86:Y86" si="142">ROUND(X89+X92,0)</f>
        <v>58740</v>
      </c>
      <c r="Y86" s="91">
        <f t="shared" si="142"/>
        <v>60714</v>
      </c>
      <c r="AA86" s="277" t="b">
        <f>Q86=final!Y76</f>
        <v>1</v>
      </c>
      <c r="AB86" s="277" t="b">
        <f>R86=final!Z76</f>
        <v>1</v>
      </c>
      <c r="AC86" s="277" t="b">
        <f>S86=final!AA76</f>
        <v>1</v>
      </c>
      <c r="AD86" s="277" t="b">
        <f>T86=final!AB76</f>
        <v>1</v>
      </c>
      <c r="AE86" s="277" t="b">
        <f>U86=final!AC76</f>
        <v>1</v>
      </c>
      <c r="AF86" s="277" t="b">
        <f>V86=final!AD32</f>
        <v>1</v>
      </c>
      <c r="AG86" s="277" t="b">
        <f>W86=final!AE32</f>
        <v>1</v>
      </c>
      <c r="AH86" s="277" t="b">
        <f>X86=final!AF32</f>
        <v>1</v>
      </c>
      <c r="AJ86" s="316"/>
      <c r="AK86" s="316"/>
      <c r="AL86" s="316"/>
      <c r="AM86" s="316"/>
      <c r="AN86" s="316"/>
      <c r="AO86" s="316"/>
      <c r="AP86" s="316"/>
    </row>
    <row r="87" spans="2:42" ht="15" x14ac:dyDescent="0.25">
      <c r="B87" s="156"/>
      <c r="C87" s="157" t="s">
        <v>46</v>
      </c>
      <c r="D87" s="157"/>
      <c r="E87" s="171">
        <f>E85/E86</f>
        <v>13.819460101370829</v>
      </c>
      <c r="F87" s="160">
        <f t="shared" ref="F87:K87" si="143">F85/F86</f>
        <v>13.405258588827863</v>
      </c>
      <c r="G87" s="160">
        <f t="shared" si="143"/>
        <v>13.09763029899873</v>
      </c>
      <c r="H87" s="160">
        <f t="shared" si="143"/>
        <v>12.888848130728887</v>
      </c>
      <c r="I87" s="160">
        <f t="shared" si="143"/>
        <v>12.674830076371661</v>
      </c>
      <c r="J87" s="160">
        <f t="shared" si="143"/>
        <v>12.673863980714696</v>
      </c>
      <c r="K87" s="161">
        <f t="shared" si="143"/>
        <v>12.68721665679128</v>
      </c>
      <c r="L87" s="161">
        <f t="shared" ref="L87:M87" si="144">L85/L86</f>
        <v>12.633401287603025</v>
      </c>
      <c r="M87" s="161">
        <f t="shared" si="144"/>
        <v>12.748340340526353</v>
      </c>
      <c r="N87" s="161">
        <f t="shared" ref="N87:R87" si="145">N85/N86</f>
        <v>12.822321399545807</v>
      </c>
      <c r="O87" s="161">
        <f t="shared" si="145"/>
        <v>12.824120136620136</v>
      </c>
      <c r="P87" s="161">
        <f t="shared" si="145"/>
        <v>12.871237660082281</v>
      </c>
      <c r="Q87" s="262">
        <f>Q85/Q86</f>
        <v>12.882597727816753</v>
      </c>
      <c r="R87" s="272">
        <f t="shared" si="145"/>
        <v>12.877620406901693</v>
      </c>
      <c r="S87" s="312">
        <f>S85/S86</f>
        <v>13.373251942286348</v>
      </c>
      <c r="T87" s="343">
        <f>T85/T86</f>
        <v>13.388489866037977</v>
      </c>
      <c r="U87" s="378">
        <f>U85/U86</f>
        <v>13.39325152265457</v>
      </c>
      <c r="V87" s="289">
        <f>V85/V86</f>
        <v>13.17222628322844</v>
      </c>
      <c r="W87" s="289">
        <f t="shared" ref="W87" si="146">W85/W86</f>
        <v>13.026286431460047</v>
      </c>
      <c r="X87" s="289">
        <f t="shared" ref="X87:Y87" si="147">X85/X86</f>
        <v>12.932635342185904</v>
      </c>
      <c r="Y87" s="172">
        <f t="shared" si="147"/>
        <v>12.900961886879468</v>
      </c>
      <c r="AA87" s="277" t="b">
        <f>Q87=final!Y77</f>
        <v>1</v>
      </c>
      <c r="AB87" s="277" t="b">
        <f>R87=final!Z77</f>
        <v>1</v>
      </c>
      <c r="AC87" s="277" t="b">
        <f>S87=final!AA77</f>
        <v>1</v>
      </c>
      <c r="AD87" s="277" t="b">
        <f>T87=final!AB77</f>
        <v>1</v>
      </c>
      <c r="AE87" s="277" t="b">
        <f>U87=final!AC77</f>
        <v>1</v>
      </c>
      <c r="AF87" s="277" t="b">
        <f>V87=final!AD33</f>
        <v>1</v>
      </c>
      <c r="AG87" s="277" t="b">
        <f>W87=final!AE33</f>
        <v>1</v>
      </c>
      <c r="AH87" s="277" t="b">
        <f>X87=final!AF33</f>
        <v>1</v>
      </c>
      <c r="AJ87" s="316"/>
      <c r="AK87" s="316"/>
      <c r="AL87" s="316"/>
      <c r="AM87" s="316"/>
      <c r="AN87" s="316"/>
      <c r="AO87" s="316"/>
      <c r="AP87" s="316"/>
    </row>
    <row r="88" spans="2:42" ht="15" x14ac:dyDescent="0.25">
      <c r="B88" s="142" t="s">
        <v>28</v>
      </c>
      <c r="C88" s="164" t="s">
        <v>10</v>
      </c>
      <c r="D88" s="165"/>
      <c r="E88" s="166">
        <f t="shared" ref="E88:P88" si="148">D39+D45</f>
        <v>34217</v>
      </c>
      <c r="F88" s="167">
        <f t="shared" si="148"/>
        <v>34489</v>
      </c>
      <c r="G88" s="167">
        <f t="shared" si="148"/>
        <v>35013</v>
      </c>
      <c r="H88" s="167">
        <f t="shared" si="148"/>
        <v>34923</v>
      </c>
      <c r="I88" s="167">
        <f t="shared" si="148"/>
        <v>34850</v>
      </c>
      <c r="J88" s="167">
        <f t="shared" si="148"/>
        <v>34880</v>
      </c>
      <c r="K88" s="168">
        <f t="shared" si="148"/>
        <v>34587</v>
      </c>
      <c r="L88" s="168">
        <f t="shared" si="148"/>
        <v>34107</v>
      </c>
      <c r="M88" s="168">
        <f t="shared" si="148"/>
        <v>33293</v>
      </c>
      <c r="N88" s="168">
        <f t="shared" si="148"/>
        <v>32857</v>
      </c>
      <c r="O88" s="168">
        <f t="shared" si="148"/>
        <v>32632</v>
      </c>
      <c r="P88" s="168">
        <f t="shared" si="148"/>
        <v>31936</v>
      </c>
      <c r="Q88" s="258">
        <f t="shared" ref="Q88:U88" si="149">ROUND(P39+P45,0)</f>
        <v>31274</v>
      </c>
      <c r="R88" s="269">
        <f t="shared" si="149"/>
        <v>31176</v>
      </c>
      <c r="S88" s="309">
        <f t="shared" si="149"/>
        <v>30916</v>
      </c>
      <c r="T88" s="340">
        <f t="shared" si="149"/>
        <v>31119</v>
      </c>
      <c r="U88" s="379">
        <f t="shared" si="149"/>
        <v>31170</v>
      </c>
      <c r="V88" s="286">
        <f>ROUND(U39+U45,0)</f>
        <v>31154</v>
      </c>
      <c r="W88" s="286">
        <f t="shared" ref="W88" si="150">ROUND(V39+V45,0)</f>
        <v>31181</v>
      </c>
      <c r="X88" s="286">
        <f t="shared" ref="X88" si="151">ROUND(W39+W45,0)</f>
        <v>31502</v>
      </c>
      <c r="Y88" s="169">
        <f t="shared" ref="Y88" si="152">ROUND(X39+X45,0)</f>
        <v>32959</v>
      </c>
      <c r="AA88" s="277" t="b">
        <f>Q88=final!Y78</f>
        <v>1</v>
      </c>
      <c r="AB88" s="277" t="b">
        <f>R88=final!Z78</f>
        <v>1</v>
      </c>
      <c r="AC88" s="277" t="b">
        <f>S88=final!AA78</f>
        <v>1</v>
      </c>
      <c r="AD88" s="277" t="b">
        <f>T88=final!AB78</f>
        <v>1</v>
      </c>
      <c r="AE88" s="277" t="b">
        <f>U88=final!AC78</f>
        <v>1</v>
      </c>
      <c r="AF88" s="277" t="b">
        <f>V88=final!AD34</f>
        <v>1</v>
      </c>
      <c r="AG88" s="277" t="b">
        <f>W88=final!AE34</f>
        <v>1</v>
      </c>
      <c r="AH88" s="277" t="b">
        <f>X88=final!AF34</f>
        <v>1</v>
      </c>
      <c r="AJ88" s="316"/>
      <c r="AK88" s="316"/>
      <c r="AL88" s="316"/>
      <c r="AM88" s="316"/>
      <c r="AN88" s="316"/>
      <c r="AO88" s="316"/>
      <c r="AP88" s="316"/>
    </row>
    <row r="89" spans="2:42" ht="15" x14ac:dyDescent="0.25">
      <c r="B89" s="154"/>
      <c r="C89" s="132" t="s">
        <v>11</v>
      </c>
      <c r="D89" s="131"/>
      <c r="E89" s="108">
        <f t="shared" ref="E89:P89" si="153">D41+D47+0.25*(D42+D48)</f>
        <v>4776.5</v>
      </c>
      <c r="F89" s="89">
        <f t="shared" si="153"/>
        <v>4984.75</v>
      </c>
      <c r="G89" s="89">
        <f t="shared" si="153"/>
        <v>4995.75</v>
      </c>
      <c r="H89" s="89">
        <f t="shared" si="153"/>
        <v>4757.75</v>
      </c>
      <c r="I89" s="89">
        <f t="shared" si="153"/>
        <v>4970.75</v>
      </c>
      <c r="J89" s="89">
        <f t="shared" si="153"/>
        <v>4922.5</v>
      </c>
      <c r="K89" s="90">
        <f t="shared" si="153"/>
        <v>4986.75</v>
      </c>
      <c r="L89" s="90">
        <f t="shared" si="153"/>
        <v>5044.5</v>
      </c>
      <c r="M89" s="90">
        <f t="shared" si="153"/>
        <v>4974</v>
      </c>
      <c r="N89" s="90">
        <f t="shared" si="153"/>
        <v>4905</v>
      </c>
      <c r="O89" s="90">
        <f t="shared" si="153"/>
        <v>4836.25</v>
      </c>
      <c r="P89" s="90">
        <f t="shared" si="153"/>
        <v>4639.25</v>
      </c>
      <c r="Q89" s="256">
        <f t="shared" ref="Q89:T89" si="154">ROUND(P41+P47+0.25*(P42+P48),0)</f>
        <v>4864</v>
      </c>
      <c r="R89" s="267">
        <f t="shared" si="154"/>
        <v>4629</v>
      </c>
      <c r="S89" s="307">
        <f t="shared" si="154"/>
        <v>3584</v>
      </c>
      <c r="T89" s="338">
        <f t="shared" si="154"/>
        <v>3639</v>
      </c>
      <c r="U89" s="377">
        <f>ROUND(T41+T47+0.25*(T42+T48),0)</f>
        <v>3646</v>
      </c>
      <c r="V89" s="284">
        <f>ROUND(U41+U47+0.25*(U42+U48),0)</f>
        <v>3672</v>
      </c>
      <c r="W89" s="284">
        <f t="shared" ref="W89" si="155">ROUND(V41+V47+0.25*(V42+V48),0)</f>
        <v>3723</v>
      </c>
      <c r="X89" s="284">
        <f t="shared" ref="X89" si="156">ROUND(W41+W47+0.25*(W42+W48),0)</f>
        <v>3740</v>
      </c>
      <c r="Y89" s="91">
        <f t="shared" ref="Y89" si="157">ROUND(X41+X47+0.25*(X42+X48),0)</f>
        <v>3848</v>
      </c>
      <c r="AA89" s="277" t="b">
        <f>Q89=final!Y79</f>
        <v>1</v>
      </c>
      <c r="AB89" s="277" t="b">
        <f>R89=final!Z79</f>
        <v>1</v>
      </c>
      <c r="AC89" s="277" t="b">
        <f>S89=final!AA79</f>
        <v>1</v>
      </c>
      <c r="AD89" s="277" t="b">
        <f>T89=final!AB79</f>
        <v>1</v>
      </c>
      <c r="AE89" s="277" t="b">
        <f>U89=final!AC79</f>
        <v>1</v>
      </c>
      <c r="AF89" s="277" t="b">
        <f>V89=final!AD35</f>
        <v>1</v>
      </c>
      <c r="AG89" s="277" t="b">
        <f>W89=final!AE35</f>
        <v>1</v>
      </c>
      <c r="AH89" s="277" t="b">
        <f>X89=final!AF35</f>
        <v>1</v>
      </c>
      <c r="AJ89" s="316"/>
      <c r="AK89" s="316"/>
      <c r="AL89" s="316"/>
      <c r="AM89" s="316"/>
      <c r="AN89" s="316"/>
      <c r="AO89" s="316"/>
      <c r="AP89" s="316"/>
    </row>
    <row r="90" spans="2:42" ht="15" x14ac:dyDescent="0.25">
      <c r="B90" s="156"/>
      <c r="C90" s="157" t="s">
        <v>46</v>
      </c>
      <c r="D90" s="157"/>
      <c r="E90" s="171">
        <f t="shared" ref="E90:K90" si="158">E88/E89</f>
        <v>7.1636135245472623</v>
      </c>
      <c r="F90" s="160">
        <f t="shared" si="158"/>
        <v>6.91890265309193</v>
      </c>
      <c r="G90" s="160">
        <f t="shared" si="158"/>
        <v>7.00855727368263</v>
      </c>
      <c r="H90" s="160">
        <f t="shared" si="158"/>
        <v>7.340234354474279</v>
      </c>
      <c r="I90" s="160">
        <f t="shared" si="158"/>
        <v>7.0110144344414831</v>
      </c>
      <c r="J90" s="160">
        <f t="shared" si="158"/>
        <v>7.0858303707465717</v>
      </c>
      <c r="K90" s="161">
        <f t="shared" si="158"/>
        <v>6.9357798165137616</v>
      </c>
      <c r="L90" s="161">
        <f t="shared" ref="L90:N90" si="159">L88/L89</f>
        <v>6.7612250966399046</v>
      </c>
      <c r="M90" s="161">
        <f t="shared" si="159"/>
        <v>6.6934057096903903</v>
      </c>
      <c r="N90" s="161">
        <f t="shared" si="159"/>
        <v>6.6986748216106013</v>
      </c>
      <c r="O90" s="161">
        <f t="shared" ref="O90:P90" si="160">O88/O89</f>
        <v>6.7473765830964076</v>
      </c>
      <c r="P90" s="161">
        <f t="shared" si="160"/>
        <v>6.8838713154065854</v>
      </c>
      <c r="Q90" s="262">
        <f>Q88/Q89</f>
        <v>6.4296875</v>
      </c>
      <c r="R90" s="272">
        <f t="shared" ref="R90" si="161">R88/R89</f>
        <v>6.7349319507453016</v>
      </c>
      <c r="S90" s="312">
        <f t="shared" ref="S90" si="162">S88/S89</f>
        <v>8.6261160714285712</v>
      </c>
      <c r="T90" s="343">
        <f>T88/T89</f>
        <v>8.5515251442704034</v>
      </c>
      <c r="U90" s="378">
        <f>U88/U89</f>
        <v>8.5490948985189252</v>
      </c>
      <c r="V90" s="289">
        <f>V88/V89</f>
        <v>8.4842047930283222</v>
      </c>
      <c r="W90" s="289">
        <f t="shared" ref="W90" si="163">W88/W89</f>
        <v>8.3752350255170569</v>
      </c>
      <c r="X90" s="289">
        <f t="shared" ref="X90:Y90" si="164">X88/X89</f>
        <v>8.4229946524064179</v>
      </c>
      <c r="Y90" s="172">
        <f t="shared" si="164"/>
        <v>8.5652286902286896</v>
      </c>
      <c r="AA90" s="277" t="b">
        <f>Q90=final!Y80</f>
        <v>1</v>
      </c>
      <c r="AB90" s="277" t="b">
        <f>R90=final!Z80</f>
        <v>1</v>
      </c>
      <c r="AC90" s="277" t="b">
        <f>S90=final!AA80</f>
        <v>1</v>
      </c>
      <c r="AD90" s="277" t="b">
        <f>T90=final!AB80</f>
        <v>1</v>
      </c>
      <c r="AE90" s="277" t="b">
        <f>U90=final!AC80</f>
        <v>1</v>
      </c>
      <c r="AF90" s="277" t="b">
        <f>V90=final!AD36</f>
        <v>1</v>
      </c>
      <c r="AG90" s="277" t="b">
        <f>W90=final!AE36</f>
        <v>1</v>
      </c>
      <c r="AH90" s="277" t="b">
        <f>X90=final!AF36</f>
        <v>1</v>
      </c>
      <c r="AJ90" s="316"/>
      <c r="AK90" s="316"/>
      <c r="AL90" s="316"/>
      <c r="AM90" s="316"/>
      <c r="AN90" s="316"/>
      <c r="AO90" s="316"/>
      <c r="AP90" s="316"/>
    </row>
    <row r="91" spans="2:42" ht="15" x14ac:dyDescent="0.25">
      <c r="B91" s="154" t="s">
        <v>27</v>
      </c>
      <c r="C91" s="135" t="s">
        <v>10</v>
      </c>
      <c r="D91" s="134"/>
      <c r="E91" s="110">
        <f t="shared" ref="E91:P91" si="165">D27+D26+D20+D19+D13+D12+D6</f>
        <v>768742</v>
      </c>
      <c r="F91" s="111">
        <f t="shared" si="165"/>
        <v>745315</v>
      </c>
      <c r="G91" s="111">
        <f t="shared" si="165"/>
        <v>723032</v>
      </c>
      <c r="H91" s="111">
        <f t="shared" si="165"/>
        <v>702941</v>
      </c>
      <c r="I91" s="111">
        <f t="shared" si="165"/>
        <v>681693</v>
      </c>
      <c r="J91" s="111">
        <f t="shared" si="165"/>
        <v>665671</v>
      </c>
      <c r="K91" s="112">
        <f t="shared" si="165"/>
        <v>655956</v>
      </c>
      <c r="L91" s="112">
        <f t="shared" si="165"/>
        <v>652212</v>
      </c>
      <c r="M91" s="112">
        <f t="shared" si="165"/>
        <v>652743</v>
      </c>
      <c r="N91" s="112">
        <f t="shared" si="165"/>
        <v>657391</v>
      </c>
      <c r="O91" s="112">
        <f t="shared" si="165"/>
        <v>658229</v>
      </c>
      <c r="P91" s="112">
        <f t="shared" si="165"/>
        <v>661045</v>
      </c>
      <c r="Q91" s="259">
        <f t="shared" ref="Q91:U91" si="166">ROUND(P27+P26+P20+P19+P13+P12+P6,0)</f>
        <v>668367</v>
      </c>
      <c r="R91" s="270">
        <f t="shared" si="166"/>
        <v>677106</v>
      </c>
      <c r="S91" s="310">
        <f>ROUND(R27+R26+R20+R19+R13+R12+R6,0)</f>
        <v>692042</v>
      </c>
      <c r="T91" s="341">
        <f t="shared" si="166"/>
        <v>701459</v>
      </c>
      <c r="U91" s="380">
        <f t="shared" si="166"/>
        <v>709892</v>
      </c>
      <c r="V91" s="287">
        <f>ROUND(U27+U26+U20+U19+U13+U12+U6,0)</f>
        <v>707663</v>
      </c>
      <c r="W91" s="287">
        <f t="shared" ref="W91" si="167">ROUND(V27+V26+V20+V19+V13+V12+V6,0)</f>
        <v>716111</v>
      </c>
      <c r="X91" s="287">
        <f t="shared" ref="X91" si="168">ROUND(W27+W26+W20+W19+W13+W12+W6,0)</f>
        <v>728161</v>
      </c>
      <c r="Y91" s="113">
        <f t="shared" ref="Y91" si="169">ROUND(X27+X26+X20+X19+X13+X12+X6,0)</f>
        <v>750310</v>
      </c>
      <c r="AA91" s="277" t="b">
        <f>Q91=final!Y81</f>
        <v>1</v>
      </c>
      <c r="AB91" s="277" t="b">
        <f>R91=final!Z81</f>
        <v>1</v>
      </c>
      <c r="AC91" s="277" t="b">
        <f>S91=final!AA81</f>
        <v>1</v>
      </c>
      <c r="AD91" s="277" t="b">
        <f>T91=final!AB81</f>
        <v>1</v>
      </c>
      <c r="AE91" s="277" t="b">
        <f>U91=final!AC81</f>
        <v>1</v>
      </c>
      <c r="AF91" s="277" t="b">
        <f>V91=final!AD37</f>
        <v>1</v>
      </c>
      <c r="AG91" s="277" t="b">
        <f>W91=final!AE37</f>
        <v>1</v>
      </c>
      <c r="AH91" s="277" t="b">
        <f>X91=final!AF37</f>
        <v>1</v>
      </c>
      <c r="AJ91" s="316"/>
      <c r="AK91" s="316"/>
      <c r="AL91" s="316"/>
      <c r="AM91" s="316"/>
      <c r="AN91" s="316"/>
      <c r="AO91" s="316"/>
      <c r="AP91" s="316"/>
    </row>
    <row r="92" spans="2:42" ht="15" x14ac:dyDescent="0.25">
      <c r="B92" s="154"/>
      <c r="C92" s="132" t="s">
        <v>11</v>
      </c>
      <c r="D92" s="131"/>
      <c r="E92" s="108">
        <f t="shared" ref="E92:P92" si="170">D29+0.25*D30+D22+0.25*D23+D15+0.25*D16+D8+0.25*D9</f>
        <v>53327</v>
      </c>
      <c r="F92" s="89">
        <f t="shared" si="170"/>
        <v>53186.75</v>
      </c>
      <c r="G92" s="89">
        <f t="shared" si="170"/>
        <v>52880.75</v>
      </c>
      <c r="H92" s="89">
        <f t="shared" si="170"/>
        <v>52490.5</v>
      </c>
      <c r="I92" s="89">
        <f t="shared" si="170"/>
        <v>51562</v>
      </c>
      <c r="J92" s="89">
        <f t="shared" si="170"/>
        <v>50352.75</v>
      </c>
      <c r="K92" s="90">
        <f t="shared" si="170"/>
        <v>49441.5</v>
      </c>
      <c r="L92" s="90">
        <f t="shared" si="170"/>
        <v>49281.25</v>
      </c>
      <c r="M92" s="90">
        <f t="shared" si="170"/>
        <v>48839.75</v>
      </c>
      <c r="N92" s="90">
        <f t="shared" si="170"/>
        <v>48926.75</v>
      </c>
      <c r="O92" s="90">
        <f t="shared" si="170"/>
        <v>49035.75</v>
      </c>
      <c r="P92" s="90">
        <f t="shared" si="170"/>
        <v>49200.25</v>
      </c>
      <c r="Q92" s="256">
        <f t="shared" ref="Q92:U92" si="171">ROUND(P29+0.25*P30+P22+0.25*P23+P15+0.25*P16+P8+0.25*P9,0)</f>
        <v>49445</v>
      </c>
      <c r="R92" s="267">
        <f t="shared" si="171"/>
        <v>50372</v>
      </c>
      <c r="S92" s="307">
        <f t="shared" si="171"/>
        <v>50476</v>
      </c>
      <c r="T92" s="338">
        <f t="shared" si="171"/>
        <v>51078</v>
      </c>
      <c r="U92" s="377">
        <f t="shared" si="171"/>
        <v>51685</v>
      </c>
      <c r="V92" s="284">
        <f>ROUND(U29+0.25*U30+U22+0.25*U23+U15+0.25*U16+U8+0.25*U9,0)</f>
        <v>52417</v>
      </c>
      <c r="W92" s="284">
        <f t="shared" ref="W92" si="172">ROUND(V29+0.25*V30+V22+0.25*V23+V15+0.25*V16+V8+0.25*V9,0)</f>
        <v>53645</v>
      </c>
      <c r="X92" s="284">
        <f t="shared" ref="X92" si="173">ROUND(W29+0.25*W30+W22+0.25*W23+W15+0.25*W16+W8+0.25*W9,0)</f>
        <v>55000</v>
      </c>
      <c r="Y92" s="91">
        <f t="shared" ref="Y92" si="174">ROUND(X29+0.25*X30+X22+0.25*X23+X15+0.25*X16+X8+0.25*X9,0)</f>
        <v>56866</v>
      </c>
      <c r="AA92" s="277" t="b">
        <f>Q92=final!Y82</f>
        <v>1</v>
      </c>
      <c r="AB92" s="277" t="b">
        <f>R92=final!Z82</f>
        <v>1</v>
      </c>
      <c r="AC92" s="277" t="b">
        <f>S92=final!AA82</f>
        <v>1</v>
      </c>
      <c r="AD92" s="277" t="b">
        <f>T92=final!AB82</f>
        <v>1</v>
      </c>
      <c r="AE92" s="277" t="b">
        <f>U92=final!AC82</f>
        <v>1</v>
      </c>
      <c r="AF92" s="277" t="b">
        <f>V92=final!AD38</f>
        <v>1</v>
      </c>
      <c r="AG92" s="277" t="b">
        <f>W92=final!AE38</f>
        <v>1</v>
      </c>
      <c r="AH92" s="277" t="b">
        <f>X92=final!AF38</f>
        <v>1</v>
      </c>
      <c r="AJ92" s="316"/>
      <c r="AK92" s="316"/>
      <c r="AL92" s="316"/>
      <c r="AM92" s="316"/>
      <c r="AN92" s="316"/>
      <c r="AO92" s="316"/>
      <c r="AP92" s="316"/>
    </row>
    <row r="93" spans="2:42" ht="15.75" thickBot="1" x14ac:dyDescent="0.3">
      <c r="B93" s="170"/>
      <c r="C93" s="133" t="s">
        <v>46</v>
      </c>
      <c r="D93" s="133"/>
      <c r="E93" s="140">
        <f t="shared" ref="E93:K93" si="175">E91/E92</f>
        <v>14.415624355392202</v>
      </c>
      <c r="F93" s="93">
        <f t="shared" si="175"/>
        <v>14.013170573498099</v>
      </c>
      <c r="G93" s="93">
        <f t="shared" si="175"/>
        <v>13.67287718120488</v>
      </c>
      <c r="H93" s="93">
        <f t="shared" si="175"/>
        <v>13.391775654642268</v>
      </c>
      <c r="I93" s="93">
        <f t="shared" si="175"/>
        <v>13.220840929366588</v>
      </c>
      <c r="J93" s="93">
        <f t="shared" si="175"/>
        <v>13.220151828847481</v>
      </c>
      <c r="K93" s="94">
        <f t="shared" si="175"/>
        <v>13.267315918813143</v>
      </c>
      <c r="L93" s="94">
        <f t="shared" ref="L93:N93" si="176">L91/L92</f>
        <v>13.234485732403298</v>
      </c>
      <c r="M93" s="94">
        <f t="shared" si="176"/>
        <v>13.364994702061333</v>
      </c>
      <c r="N93" s="94">
        <f t="shared" si="176"/>
        <v>13.43622864792777</v>
      </c>
      <c r="O93" s="94">
        <f t="shared" ref="O93:P93" si="177">O91/O92</f>
        <v>13.423451257500904</v>
      </c>
      <c r="P93" s="94">
        <f t="shared" si="177"/>
        <v>13.435805712369348</v>
      </c>
      <c r="Q93" s="263">
        <f>Q91/Q92</f>
        <v>13.517382950753362</v>
      </c>
      <c r="R93" s="273">
        <f t="shared" ref="R93" si="178">R91/R92</f>
        <v>13.442110696418645</v>
      </c>
      <c r="S93" s="313">
        <f t="shared" ref="S93" si="179">S91/S92</f>
        <v>13.710317774784055</v>
      </c>
      <c r="T93" s="344">
        <f>T91/T92</f>
        <v>13.733094482947649</v>
      </c>
      <c r="U93" s="381">
        <f>U91/U92</f>
        <v>13.734971461739383</v>
      </c>
      <c r="V93" s="290">
        <f>V91/V92</f>
        <v>13.500639105633669</v>
      </c>
      <c r="W93" s="290">
        <f t="shared" ref="W93" si="180">W91/W92</f>
        <v>13.349072606953118</v>
      </c>
      <c r="X93" s="290">
        <f t="shared" ref="X93:Y93" si="181">X91/X92</f>
        <v>13.23929090909091</v>
      </c>
      <c r="Y93" s="120">
        <f t="shared" si="181"/>
        <v>13.194351633665107</v>
      </c>
      <c r="AA93" s="277" t="b">
        <f>Q93=final!Y83</f>
        <v>1</v>
      </c>
      <c r="AB93" s="277" t="b">
        <f>R93=final!Z83</f>
        <v>1</v>
      </c>
      <c r="AC93" s="277" t="b">
        <f>S93=final!AA83</f>
        <v>1</v>
      </c>
      <c r="AD93" s="277" t="b">
        <f>T93=final!AB83</f>
        <v>1</v>
      </c>
      <c r="AE93" s="277" t="b">
        <f>U93=final!AC83</f>
        <v>1</v>
      </c>
      <c r="AF93" s="277" t="b">
        <f>V93=final!AD39</f>
        <v>1</v>
      </c>
      <c r="AG93" s="277" t="b">
        <f>W93=final!AE39</f>
        <v>1</v>
      </c>
      <c r="AH93" s="277" t="b">
        <f>X93=final!AF39</f>
        <v>1</v>
      </c>
      <c r="AJ93" s="316"/>
      <c r="AK93" s="316"/>
      <c r="AL93" s="316"/>
      <c r="AM93" s="316"/>
      <c r="AN93" s="316"/>
      <c r="AO93" s="316"/>
      <c r="AP93" s="316"/>
    </row>
    <row r="94" spans="2:42" x14ac:dyDescent="0.2">
      <c r="AB94" s="52"/>
      <c r="AC94" s="52"/>
      <c r="AD94" s="52"/>
      <c r="AE94" s="52"/>
    </row>
    <row r="95" spans="2:42" x14ac:dyDescent="0.2">
      <c r="AB95" s="52"/>
      <c r="AC95" s="52"/>
      <c r="AD95" s="52"/>
      <c r="AE95" s="52"/>
    </row>
    <row r="96" spans="2:42" x14ac:dyDescent="0.2">
      <c r="U96" s="382"/>
      <c r="AB96" s="52"/>
      <c r="AC96" s="52"/>
      <c r="AD96" s="52"/>
      <c r="AE96" s="52"/>
    </row>
    <row r="97" spans="21:31" x14ac:dyDescent="0.2">
      <c r="U97" s="24"/>
      <c r="AB97" s="52"/>
      <c r="AC97" s="52"/>
      <c r="AD97" s="52"/>
      <c r="AE97" s="52"/>
    </row>
    <row r="98" spans="21:31" x14ac:dyDescent="0.2">
      <c r="U98" s="24"/>
      <c r="AB98" s="52"/>
      <c r="AC98" s="52"/>
      <c r="AD98" s="52"/>
      <c r="AE98" s="52"/>
    </row>
    <row r="99" spans="21:31" x14ac:dyDescent="0.2">
      <c r="U99" s="24"/>
      <c r="AB99" s="52"/>
      <c r="AC99" s="52"/>
      <c r="AD99" s="52"/>
      <c r="AE99" s="52"/>
    </row>
    <row r="100" spans="21:31" x14ac:dyDescent="0.2">
      <c r="AB100" s="52"/>
      <c r="AC100" s="52"/>
      <c r="AD100" s="52"/>
      <c r="AE100" s="52"/>
    </row>
    <row r="101" spans="21:31" x14ac:dyDescent="0.2">
      <c r="AB101" s="52"/>
      <c r="AC101" s="52"/>
      <c r="AD101" s="52"/>
      <c r="AE101" s="52"/>
    </row>
    <row r="102" spans="21:31" ht="15" x14ac:dyDescent="0.25">
      <c r="AB102" s="5"/>
      <c r="AC102" s="5"/>
      <c r="AD102" s="52"/>
      <c r="AE102" s="52"/>
    </row>
    <row r="103" spans="21:31" ht="15" x14ac:dyDescent="0.25">
      <c r="AB103" s="2"/>
      <c r="AC103" s="2"/>
    </row>
    <row r="104" spans="21:31" ht="15" x14ac:dyDescent="0.25">
      <c r="AB104" s="2"/>
      <c r="AC104" s="2"/>
    </row>
    <row r="105" spans="21:31" ht="15" x14ac:dyDescent="0.25">
      <c r="AB105" s="2"/>
      <c r="AC105" s="2"/>
    </row>
    <row r="106" spans="21:31" ht="15" x14ac:dyDescent="0.25">
      <c r="AB106" s="2"/>
      <c r="AC106" s="2"/>
    </row>
    <row r="107" spans="21:31" ht="15" x14ac:dyDescent="0.25">
      <c r="AB107" s="2"/>
      <c r="AC107" s="2"/>
    </row>
    <row r="108" spans="21:31" ht="15" x14ac:dyDescent="0.25">
      <c r="AB108" s="2"/>
      <c r="AC108" s="2"/>
    </row>
    <row r="109" spans="21:31" ht="15" x14ac:dyDescent="0.25">
      <c r="AB109" s="2"/>
      <c r="AC109" s="2"/>
    </row>
  </sheetData>
  <phoneticPr fontId="10" type="noConversion"/>
  <conditionalFormatting sqref="AJ66:AP74">
    <cfRule type="containsText" dxfId="3" priority="4" operator="containsText" text="F">
      <formula>NOT(ISERROR(SEARCH("F",AJ66)))</formula>
    </cfRule>
  </conditionalFormatting>
  <conditionalFormatting sqref="AA66:AH74 AA85:AH93">
    <cfRule type="containsText" dxfId="2" priority="2" operator="containsText" text="F">
      <formula>NOT(ISERROR(SEARCH("F",AA66)))</formula>
    </cfRule>
    <cfRule type="containsText" dxfId="1" priority="3" operator="containsText" text="F">
      <formula>NOT(ISERROR(SEARCH("F",AA66)))</formula>
    </cfRule>
    <cfRule type="containsText" dxfId="0" priority="1" operator="containsText" text="F">
      <formula>NOT(ISERROR(SEARCH("F",AA66)))</formula>
    </cfRule>
  </conditionalFormatting>
  <printOptions horizontalCentered="1" gridLines="1"/>
  <pageMargins left="0.23622047244094491" right="0.15748031496062992" top="0.35433070866141736" bottom="0.23622047244094491" header="0.19685039370078741" footer="0.15748031496062992"/>
  <pageSetup paperSize="9" scale="70" orientation="landscape" r:id="rId1"/>
  <rowBreaks count="1" manualBreakCount="1">
    <brk id="49" min="1" max="15" man="1"/>
  </rowBreaks>
  <colBreaks count="1" manualBreakCount="1">
    <brk id="16" max="1048575" man="1"/>
  </colBreaks>
  <ignoredErrors>
    <ignoredError sqref="Y9:Y12 Y42:Y44 Y14 Y16:Y19 Y21 Y23:Y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final</vt:lpstr>
      <vt:lpstr>podklad</vt:lpstr>
      <vt:lpstr>final!Oblasť_tlače</vt:lpstr>
      <vt:lpstr>podklad!Oblasť_tlače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Bizoňová</dc:creator>
  <cp:lastModifiedBy>Miroslav Dubovsky</cp:lastModifiedBy>
  <cp:lastPrinted>2021-06-28T12:46:37Z</cp:lastPrinted>
  <dcterms:created xsi:type="dcterms:W3CDTF">2011-06-21T12:11:01Z</dcterms:created>
  <dcterms:modified xsi:type="dcterms:W3CDTF">2025-05-12T08:45:23Z</dcterms:modified>
</cp:coreProperties>
</file>